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lexb\Documents\Work\EATS\Carbon calculator\Proofs\"/>
    </mc:Choice>
  </mc:AlternateContent>
  <xr:revisionPtr revIDLastSave="0" documentId="13_ncr:1_{E068F64A-48D7-456F-B0DA-C4AD9D6D0C65}" xr6:coauthVersionLast="47" xr6:coauthVersionMax="47" xr10:uidLastSave="{00000000-0000-0000-0000-000000000000}"/>
  <bookViews>
    <workbookView xWindow="-28920" yWindow="-120" windowWidth="29040" windowHeight="15720" tabRatio="725" xr2:uid="{00000000-000D-0000-FFFF-FFFF00000000}"/>
  </bookViews>
  <sheets>
    <sheet name="Cover Page" sheetId="10" r:id="rId1"/>
    <sheet name="Instructions" sheetId="4" r:id="rId2"/>
    <sheet name="User inputs" sheetId="8" r:id="rId3"/>
    <sheet name="Data and assumptions" sheetId="1" r:id="rId4"/>
    <sheet name="Calculations" sheetId="2" r:id="rId5"/>
    <sheet name="Results breakdown" sheetId="3" r:id="rId6"/>
    <sheet name="Results summary" sheetId="7" r:id="rId7"/>
    <sheet name="Lists" sheetId="9"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8" i="2" l="1"/>
  <c r="B8" i="7"/>
  <c r="B10" i="7"/>
  <c r="B218" i="1" l="1"/>
  <c r="C130" i="2"/>
  <c r="B217" i="1"/>
  <c r="C139" i="2" s="1"/>
  <c r="B216" i="1"/>
  <c r="C138" i="2" s="1"/>
  <c r="B215" i="1"/>
  <c r="C137" i="2" s="1"/>
  <c r="B214" i="1"/>
  <c r="C132" i="2" s="1"/>
  <c r="B213" i="1"/>
  <c r="C131" i="2" s="1"/>
  <c r="B212" i="1"/>
  <c r="B82" i="1"/>
  <c r="B139" i="2" s="1"/>
  <c r="B81" i="1"/>
  <c r="B80" i="1"/>
  <c r="B137" i="2" s="1"/>
  <c r="B79" i="1"/>
  <c r="B136" i="2" s="1"/>
  <c r="B78" i="1"/>
  <c r="B135" i="2" s="1"/>
  <c r="B77" i="1"/>
  <c r="B134" i="2" s="1"/>
  <c r="B76" i="1"/>
  <c r="B133" i="2" s="1"/>
  <c r="B75" i="1"/>
  <c r="B132" i="2" s="1"/>
  <c r="B74" i="1"/>
  <c r="B131" i="2" s="1"/>
  <c r="E131" i="2" s="1"/>
  <c r="B124" i="1"/>
  <c r="B156" i="1"/>
  <c r="E137" i="2" l="1"/>
  <c r="D72" i="3"/>
  <c r="H72" i="3"/>
  <c r="L72" i="3"/>
  <c r="J72" i="3"/>
  <c r="C72" i="3"/>
  <c r="K72" i="3"/>
  <c r="O72" i="3"/>
  <c r="E72" i="3"/>
  <c r="I72" i="3"/>
  <c r="M72" i="3"/>
  <c r="B72" i="3"/>
  <c r="F72" i="3"/>
  <c r="N72" i="3"/>
  <c r="G72" i="3"/>
  <c r="E132" i="2"/>
  <c r="E139" i="2"/>
  <c r="E80" i="3" s="1"/>
  <c r="B138" i="2"/>
  <c r="E138" i="2" s="1"/>
  <c r="E79" i="3" s="1"/>
  <c r="F80" i="3"/>
  <c r="N80" i="3"/>
  <c r="C80" i="3"/>
  <c r="L80" i="3"/>
  <c r="D80" i="3"/>
  <c r="C78" i="3"/>
  <c r="K78" i="3"/>
  <c r="E78" i="3"/>
  <c r="D78" i="3"/>
  <c r="L78" i="3"/>
  <c r="M78" i="3"/>
  <c r="H78" i="3"/>
  <c r="F78" i="3"/>
  <c r="N78" i="3"/>
  <c r="B78" i="3"/>
  <c r="G78" i="3"/>
  <c r="O78" i="3"/>
  <c r="I78" i="3"/>
  <c r="J78" i="3"/>
  <c r="B149" i="2"/>
  <c r="B143" i="2"/>
  <c r="B142" i="2"/>
  <c r="B153" i="2"/>
  <c r="B152" i="2"/>
  <c r="B151" i="2"/>
  <c r="B150" i="2"/>
  <c r="B145" i="2"/>
  <c r="B144" i="2"/>
  <c r="B141" i="2"/>
  <c r="B140" i="2"/>
  <c r="B117" i="2"/>
  <c r="B109" i="2"/>
  <c r="B207" i="1"/>
  <c r="C149" i="2" s="1"/>
  <c r="B208" i="1"/>
  <c r="C123" i="2" s="1"/>
  <c r="B209" i="1"/>
  <c r="B210" i="1"/>
  <c r="C128" i="2" s="1"/>
  <c r="B211" i="1"/>
  <c r="C129" i="2" s="1"/>
  <c r="I79" i="3" l="1"/>
  <c r="L79" i="3"/>
  <c r="O79" i="3"/>
  <c r="N79" i="3"/>
  <c r="B79" i="3"/>
  <c r="G79" i="3"/>
  <c r="F79" i="3"/>
  <c r="D79" i="3"/>
  <c r="K79" i="3"/>
  <c r="I80" i="3"/>
  <c r="M79" i="3"/>
  <c r="C79" i="3"/>
  <c r="J79" i="3"/>
  <c r="H79" i="3"/>
  <c r="C73" i="3"/>
  <c r="G73" i="3"/>
  <c r="K73" i="3"/>
  <c r="O73" i="3"/>
  <c r="E73" i="3"/>
  <c r="M73" i="3"/>
  <c r="J73" i="3"/>
  <c r="D73" i="3"/>
  <c r="H73" i="3"/>
  <c r="L73" i="3"/>
  <c r="I73" i="3"/>
  <c r="B73" i="3"/>
  <c r="F73" i="3"/>
  <c r="N73" i="3"/>
  <c r="K80" i="3"/>
  <c r="B80" i="3"/>
  <c r="O80" i="3"/>
  <c r="M80" i="3"/>
  <c r="J80" i="3"/>
  <c r="H80" i="3"/>
  <c r="G80" i="3"/>
  <c r="E149" i="2"/>
  <c r="K70" i="3" s="1"/>
  <c r="C150" i="2"/>
  <c r="E150" i="2" s="1"/>
  <c r="C151" i="2"/>
  <c r="E151" i="2" s="1"/>
  <c r="C127" i="2"/>
  <c r="C126" i="2"/>
  <c r="C125" i="2"/>
  <c r="C124" i="2"/>
  <c r="C152" i="2"/>
  <c r="C153" i="2"/>
  <c r="C140" i="2"/>
  <c r="E140" i="2" s="1"/>
  <c r="C141" i="2"/>
  <c r="E141" i="2" s="1"/>
  <c r="C142" i="2"/>
  <c r="E142" i="2" s="1"/>
  <c r="C143" i="2"/>
  <c r="C144" i="2"/>
  <c r="E144" i="2" s="1"/>
  <c r="C145" i="2"/>
  <c r="E145" i="2" s="1"/>
  <c r="C146" i="2"/>
  <c r="C147" i="2"/>
  <c r="C148" i="2"/>
  <c r="D99" i="2"/>
  <c r="D98" i="2"/>
  <c r="D97" i="2"/>
  <c r="D96" i="2"/>
  <c r="D95" i="2"/>
  <c r="C99" i="2"/>
  <c r="C98" i="2"/>
  <c r="C97" i="2"/>
  <c r="C96" i="2"/>
  <c r="C95" i="2"/>
  <c r="D94" i="2"/>
  <c r="C94" i="2"/>
  <c r="C93" i="2"/>
  <c r="D93" i="2"/>
  <c r="D83" i="2"/>
  <c r="D87" i="2"/>
  <c r="D91" i="2"/>
  <c r="D92" i="2"/>
  <c r="C91" i="2"/>
  <c r="C92" i="2"/>
  <c r="D89" i="2"/>
  <c r="D90" i="2"/>
  <c r="C89" i="2"/>
  <c r="C90" i="2"/>
  <c r="D88" i="2"/>
  <c r="C87" i="2"/>
  <c r="C88" i="2"/>
  <c r="D85" i="2"/>
  <c r="D86" i="2"/>
  <c r="C86" i="2"/>
  <c r="C85" i="2"/>
  <c r="D84" i="2"/>
  <c r="C84" i="2"/>
  <c r="C83" i="2"/>
  <c r="B71" i="1"/>
  <c r="B72" i="1"/>
  <c r="B73" i="1"/>
  <c r="B150" i="1"/>
  <c r="B149" i="1"/>
  <c r="B90" i="1"/>
  <c r="B91" i="1"/>
  <c r="B92" i="1"/>
  <c r="B93" i="1"/>
  <c r="B94" i="1"/>
  <c r="B95" i="1"/>
  <c r="B96" i="1"/>
  <c r="B97" i="1"/>
  <c r="B98" i="1"/>
  <c r="B99" i="1"/>
  <c r="B100" i="1"/>
  <c r="B101" i="1"/>
  <c r="B102" i="1"/>
  <c r="B103" i="1"/>
  <c r="B89" i="1"/>
  <c r="B127" i="2"/>
  <c r="B126" i="2"/>
  <c r="B125" i="2"/>
  <c r="C166" i="2"/>
  <c r="C165" i="2"/>
  <c r="C164" i="2"/>
  <c r="C163" i="2"/>
  <c r="C162" i="2"/>
  <c r="C161" i="2"/>
  <c r="C160" i="2"/>
  <c r="C159" i="2"/>
  <c r="C158" i="2"/>
  <c r="C157" i="2"/>
  <c r="B166" i="2"/>
  <c r="B165" i="2"/>
  <c r="B164" i="2"/>
  <c r="B163" i="2"/>
  <c r="B162" i="2"/>
  <c r="B161" i="2"/>
  <c r="B160" i="2"/>
  <c r="B159" i="2"/>
  <c r="B158" i="2"/>
  <c r="B157" i="2"/>
  <c r="D104" i="2"/>
  <c r="B113" i="2"/>
  <c r="B110" i="2"/>
  <c r="B111" i="2"/>
  <c r="B112" i="2"/>
  <c r="B114" i="2"/>
  <c r="B118" i="2"/>
  <c r="B119" i="2"/>
  <c r="B120" i="2"/>
  <c r="B121" i="2"/>
  <c r="B122" i="2"/>
  <c r="D107" i="2"/>
  <c r="D106" i="2"/>
  <c r="D105" i="2"/>
  <c r="C107" i="2"/>
  <c r="C106" i="2"/>
  <c r="C105" i="2"/>
  <c r="C104" i="2"/>
  <c r="E81" i="2"/>
  <c r="O58" i="3" s="1"/>
  <c r="E80" i="2"/>
  <c r="N58" i="3" s="1"/>
  <c r="E79" i="2"/>
  <c r="M58" i="3" s="1"/>
  <c r="E78" i="2"/>
  <c r="L58" i="3" s="1"/>
  <c r="E77" i="2"/>
  <c r="K58" i="3" s="1"/>
  <c r="E76" i="2"/>
  <c r="J58" i="3" s="1"/>
  <c r="E75" i="2"/>
  <c r="I58" i="3" s="1"/>
  <c r="E74" i="2"/>
  <c r="H58" i="3" s="1"/>
  <c r="E73" i="2"/>
  <c r="G58" i="3" s="1"/>
  <c r="E72" i="2"/>
  <c r="F58" i="3" s="1"/>
  <c r="E69" i="2"/>
  <c r="C58" i="3" s="1"/>
  <c r="E68" i="2"/>
  <c r="B58" i="3" s="1"/>
  <c r="B77" i="2"/>
  <c r="C77" i="2" s="1"/>
  <c r="K56" i="3" s="1"/>
  <c r="B76" i="2"/>
  <c r="D76" i="2" s="1"/>
  <c r="J57" i="3" s="1"/>
  <c r="B71" i="2"/>
  <c r="D71" i="2" s="1"/>
  <c r="E57" i="3" s="1"/>
  <c r="B70" i="2"/>
  <c r="D70" i="2" s="1"/>
  <c r="D57" i="3" s="1"/>
  <c r="B81" i="2"/>
  <c r="C81" i="2" s="1"/>
  <c r="O56" i="3" s="1"/>
  <c r="B80" i="2"/>
  <c r="C80" i="2" s="1"/>
  <c r="N56" i="3" s="1"/>
  <c r="B79" i="2"/>
  <c r="C79" i="2" s="1"/>
  <c r="M56" i="3" s="1"/>
  <c r="B78" i="2"/>
  <c r="C78" i="2" s="1"/>
  <c r="L56" i="3" s="1"/>
  <c r="B73" i="2"/>
  <c r="D73" i="2" s="1"/>
  <c r="G57" i="3" s="1"/>
  <c r="B72" i="2"/>
  <c r="C72" i="2" s="1"/>
  <c r="F56" i="3" s="1"/>
  <c r="B69" i="2"/>
  <c r="D69" i="2" s="1"/>
  <c r="C57" i="3" s="1"/>
  <c r="B68" i="2"/>
  <c r="C68" i="2" s="1"/>
  <c r="B56" i="3" s="1"/>
  <c r="B126" i="1"/>
  <c r="E71" i="2" s="1"/>
  <c r="E58" i="3" s="1"/>
  <c r="B39" i="2" l="1"/>
  <c r="B130" i="2"/>
  <c r="E130" i="2" s="1"/>
  <c r="F77" i="2"/>
  <c r="K59" i="3" s="1"/>
  <c r="E125" i="2"/>
  <c r="E126" i="2"/>
  <c r="E127" i="2"/>
  <c r="B70" i="3"/>
  <c r="L70" i="3"/>
  <c r="E153" i="2"/>
  <c r="O70" i="3" s="1"/>
  <c r="F70" i="3"/>
  <c r="E148" i="2"/>
  <c r="J70" i="3" s="1"/>
  <c r="E152" i="2"/>
  <c r="N70" i="3" s="1"/>
  <c r="D43" i="3"/>
  <c r="L43" i="3"/>
  <c r="E43" i="3"/>
  <c r="M43" i="3"/>
  <c r="F43" i="3"/>
  <c r="N43" i="3"/>
  <c r="G43" i="3"/>
  <c r="O43" i="3"/>
  <c r="H43" i="3"/>
  <c r="B43" i="3"/>
  <c r="J43" i="3"/>
  <c r="C43" i="3"/>
  <c r="K43" i="3"/>
  <c r="I43" i="3"/>
  <c r="G70" i="3"/>
  <c r="E143" i="2"/>
  <c r="E70" i="3" s="1"/>
  <c r="D70" i="3"/>
  <c r="C70" i="3"/>
  <c r="M70" i="3"/>
  <c r="F72" i="2"/>
  <c r="F59" i="3" s="1"/>
  <c r="B74" i="2"/>
  <c r="D74" i="2" s="1"/>
  <c r="H57" i="3" s="1"/>
  <c r="B146" i="2"/>
  <c r="E146" i="2" s="1"/>
  <c r="H70" i="3" s="1"/>
  <c r="B75" i="2"/>
  <c r="D75" i="2" s="1"/>
  <c r="I57" i="3" s="1"/>
  <c r="B147" i="2"/>
  <c r="E147" i="2" s="1"/>
  <c r="I70" i="3" s="1"/>
  <c r="B116" i="2"/>
  <c r="B38" i="2"/>
  <c r="B128" i="2"/>
  <c r="E128" i="2" s="1"/>
  <c r="B37" i="2"/>
  <c r="B129" i="2"/>
  <c r="E129" i="2" s="1"/>
  <c r="F75" i="2"/>
  <c r="I59" i="3" s="1"/>
  <c r="F78" i="2"/>
  <c r="L59" i="3" s="1"/>
  <c r="F73" i="2"/>
  <c r="G59" i="3" s="1"/>
  <c r="F74" i="2"/>
  <c r="H59" i="3" s="1"/>
  <c r="F79" i="2"/>
  <c r="M59" i="3" s="1"/>
  <c r="F81" i="2"/>
  <c r="O59" i="3" s="1"/>
  <c r="F80" i="2"/>
  <c r="N59" i="3" s="1"/>
  <c r="F68" i="2"/>
  <c r="B59" i="3" s="1"/>
  <c r="F70" i="2"/>
  <c r="D59" i="3" s="1"/>
  <c r="F69" i="2"/>
  <c r="C59" i="3" s="1"/>
  <c r="F71" i="2"/>
  <c r="E59" i="3" s="1"/>
  <c r="F76" i="2"/>
  <c r="J59" i="3" s="1"/>
  <c r="B115" i="2"/>
  <c r="E89" i="1"/>
  <c r="C69" i="2"/>
  <c r="D77" i="2"/>
  <c r="D80" i="2"/>
  <c r="D81" i="2"/>
  <c r="D78" i="2"/>
  <c r="C70" i="2"/>
  <c r="D72" i="2"/>
  <c r="C73" i="2"/>
  <c r="D79" i="2"/>
  <c r="C71" i="2"/>
  <c r="D68" i="2"/>
  <c r="C76" i="2"/>
  <c r="E70" i="2"/>
  <c r="D58" i="3" s="1"/>
  <c r="F44" i="3" l="1"/>
  <c r="J44" i="3"/>
  <c r="N44" i="3"/>
  <c r="L44" i="3"/>
  <c r="E44" i="3"/>
  <c r="M44" i="3"/>
  <c r="C44" i="3"/>
  <c r="G44" i="3"/>
  <c r="K44" i="3"/>
  <c r="O44" i="3"/>
  <c r="D44" i="3"/>
  <c r="H44" i="3"/>
  <c r="I44" i="3"/>
  <c r="E71" i="3"/>
  <c r="I71" i="3"/>
  <c r="M71" i="3"/>
  <c r="G71" i="3"/>
  <c r="O71" i="3"/>
  <c r="H71" i="3"/>
  <c r="B71" i="3"/>
  <c r="F71" i="3"/>
  <c r="J71" i="3"/>
  <c r="N71" i="3"/>
  <c r="C71" i="3"/>
  <c r="K71" i="3"/>
  <c r="D71" i="3"/>
  <c r="L71" i="3"/>
  <c r="G69" i="2"/>
  <c r="C55" i="3" s="1"/>
  <c r="G78" i="2"/>
  <c r="L55" i="3" s="1"/>
  <c r="G77" i="2"/>
  <c r="K55" i="3" s="1"/>
  <c r="G72" i="2"/>
  <c r="F55" i="3" s="1"/>
  <c r="C74" i="2"/>
  <c r="G74" i="2" s="1"/>
  <c r="H55" i="3" s="1"/>
  <c r="F42" i="3"/>
  <c r="N42" i="3"/>
  <c r="G42" i="3"/>
  <c r="O42" i="3"/>
  <c r="H42" i="3"/>
  <c r="B42" i="3"/>
  <c r="I42" i="3"/>
  <c r="C42" i="3"/>
  <c r="J42" i="3"/>
  <c r="K42" i="3"/>
  <c r="D42" i="3"/>
  <c r="L42" i="3"/>
  <c r="E42" i="3"/>
  <c r="M42" i="3"/>
  <c r="B44" i="3"/>
  <c r="G76" i="2"/>
  <c r="J55" i="3" s="1"/>
  <c r="G68" i="2"/>
  <c r="B55" i="3" s="1"/>
  <c r="C75" i="2"/>
  <c r="G75" i="2" s="1"/>
  <c r="I55" i="3" s="1"/>
  <c r="G79" i="2"/>
  <c r="M55" i="3" s="1"/>
  <c r="K69" i="3"/>
  <c r="J69" i="3"/>
  <c r="I69" i="3"/>
  <c r="H69" i="3"/>
  <c r="G69" i="3"/>
  <c r="F69" i="3"/>
  <c r="E69" i="3"/>
  <c r="D69" i="3"/>
  <c r="C69" i="3"/>
  <c r="B69" i="3"/>
  <c r="O69" i="3"/>
  <c r="N69" i="3"/>
  <c r="M69" i="3"/>
  <c r="L69" i="3"/>
  <c r="I68" i="3"/>
  <c r="H68" i="3"/>
  <c r="G68" i="3"/>
  <c r="F68" i="3"/>
  <c r="E68" i="3"/>
  <c r="D68" i="3"/>
  <c r="C68" i="3"/>
  <c r="B68" i="3"/>
  <c r="O68" i="3"/>
  <c r="N68" i="3"/>
  <c r="M68" i="3"/>
  <c r="L68" i="3"/>
  <c r="K68" i="3"/>
  <c r="J68" i="3"/>
  <c r="G81" i="2"/>
  <c r="O55" i="3" s="1"/>
  <c r="G73" i="2"/>
  <c r="G55" i="3" s="1"/>
  <c r="G80" i="2"/>
  <c r="N55" i="3" s="1"/>
  <c r="D56" i="3"/>
  <c r="G70" i="2"/>
  <c r="D55" i="3" s="1"/>
  <c r="G71" i="2"/>
  <c r="E55" i="3" s="1"/>
  <c r="F57" i="3"/>
  <c r="G56" i="3"/>
  <c r="O57" i="3"/>
  <c r="J56" i="3"/>
  <c r="N57" i="3"/>
  <c r="B57" i="3"/>
  <c r="M57" i="3"/>
  <c r="K57" i="3"/>
  <c r="L57" i="3"/>
  <c r="E56" i="3"/>
  <c r="C56" i="3"/>
  <c r="H56" i="3" l="1"/>
  <c r="I56" i="3"/>
  <c r="F99" i="1"/>
  <c r="F97" i="1"/>
  <c r="F92" i="1"/>
  <c r="F91" i="1"/>
  <c r="F90" i="1"/>
  <c r="E93" i="1"/>
  <c r="E94" i="1"/>
  <c r="E95" i="1"/>
  <c r="E96" i="1"/>
  <c r="E98" i="1"/>
  <c r="E100" i="1"/>
  <c r="E101" i="1"/>
  <c r="E102" i="1"/>
  <c r="E103" i="1"/>
  <c r="B47" i="1" l="1"/>
  <c r="B206" i="1" l="1"/>
  <c r="B205" i="1"/>
  <c r="C133" i="2" s="1"/>
  <c r="E133" i="2" s="1"/>
  <c r="B70" i="1"/>
  <c r="B36" i="2" s="1"/>
  <c r="B69" i="1"/>
  <c r="B35" i="2" s="1"/>
  <c r="B68" i="1"/>
  <c r="B34" i="2" s="1"/>
  <c r="B67" i="1"/>
  <c r="B66" i="1"/>
  <c r="B65" i="1"/>
  <c r="B36" i="1"/>
  <c r="B18" i="2" s="1"/>
  <c r="B14" i="1"/>
  <c r="D74" i="3" l="1"/>
  <c r="F74" i="3"/>
  <c r="H74" i="3"/>
  <c r="C74" i="3"/>
  <c r="G74" i="3"/>
  <c r="K74" i="3"/>
  <c r="O74" i="3"/>
  <c r="J74" i="3"/>
  <c r="L74" i="3"/>
  <c r="N74" i="3"/>
  <c r="B74" i="3"/>
  <c r="E74" i="3"/>
  <c r="I74" i="3"/>
  <c r="M74" i="3"/>
  <c r="C136" i="2"/>
  <c r="E136" i="2" s="1"/>
  <c r="C134" i="2"/>
  <c r="E134" i="2" s="1"/>
  <c r="C135" i="2"/>
  <c r="E135" i="2" s="1"/>
  <c r="B33" i="2"/>
  <c r="H41" i="3" s="1"/>
  <c r="B40" i="2"/>
  <c r="B41" i="2"/>
  <c r="B59" i="2"/>
  <c r="B104" i="2"/>
  <c r="E104" i="2" s="1"/>
  <c r="B106" i="2"/>
  <c r="E106" i="2" s="1"/>
  <c r="B105" i="2"/>
  <c r="E105" i="2" s="1"/>
  <c r="B107" i="2"/>
  <c r="E107" i="2" s="1"/>
  <c r="B53" i="2"/>
  <c r="B50" i="2"/>
  <c r="B58" i="2"/>
  <c r="B61" i="2"/>
  <c r="B51" i="2"/>
  <c r="B62" i="2"/>
  <c r="B52" i="2"/>
  <c r="B56" i="2"/>
  <c r="B63" i="2"/>
  <c r="B57" i="2"/>
  <c r="B60" i="2"/>
  <c r="B55" i="2"/>
  <c r="B54" i="2"/>
  <c r="B28" i="2"/>
  <c r="B27" i="2"/>
  <c r="B26" i="2"/>
  <c r="B20" i="2"/>
  <c r="B19" i="2"/>
  <c r="B16" i="2"/>
  <c r="F10" i="2"/>
  <c r="F9" i="2"/>
  <c r="F8" i="2"/>
  <c r="F7" i="2"/>
  <c r="B9" i="2"/>
  <c r="B8" i="2"/>
  <c r="B7" i="2"/>
  <c r="A11" i="7"/>
  <c r="A10" i="7"/>
  <c r="A9" i="7"/>
  <c r="A8" i="7"/>
  <c r="A7" i="7"/>
  <c r="A6" i="7"/>
  <c r="A5" i="7"/>
  <c r="A4" i="7"/>
  <c r="D76" i="3" l="1"/>
  <c r="L76" i="3"/>
  <c r="N76" i="3"/>
  <c r="J76" i="3"/>
  <c r="H76" i="3"/>
  <c r="C76" i="3"/>
  <c r="F76" i="3"/>
  <c r="I76" i="3"/>
  <c r="O76" i="3"/>
  <c r="E76" i="3"/>
  <c r="G76" i="3"/>
  <c r="B76" i="3"/>
  <c r="M76" i="3"/>
  <c r="K76" i="3"/>
  <c r="E46" i="3"/>
  <c r="I46" i="3"/>
  <c r="M46" i="3"/>
  <c r="G46" i="3"/>
  <c r="O46" i="3"/>
  <c r="D46" i="3"/>
  <c r="L46" i="3"/>
  <c r="F46" i="3"/>
  <c r="J46" i="3"/>
  <c r="N46" i="3"/>
  <c r="C46" i="3"/>
  <c r="K46" i="3"/>
  <c r="H46" i="3"/>
  <c r="B46" i="3"/>
  <c r="B75" i="3"/>
  <c r="H75" i="3"/>
  <c r="M75" i="3"/>
  <c r="O75" i="3"/>
  <c r="D75" i="3"/>
  <c r="I75" i="3"/>
  <c r="L75" i="3"/>
  <c r="E75" i="3"/>
  <c r="C75" i="3"/>
  <c r="G75" i="3"/>
  <c r="J75" i="3"/>
  <c r="F75" i="3"/>
  <c r="K75" i="3"/>
  <c r="N75" i="3"/>
  <c r="F45" i="3"/>
  <c r="J45" i="3"/>
  <c r="N45" i="3"/>
  <c r="B45" i="3"/>
  <c r="D45" i="3"/>
  <c r="L45" i="3"/>
  <c r="I45" i="3"/>
  <c r="C45" i="3"/>
  <c r="G45" i="3"/>
  <c r="K45" i="3"/>
  <c r="O45" i="3"/>
  <c r="H45" i="3"/>
  <c r="E45" i="3"/>
  <c r="M45" i="3"/>
  <c r="N77" i="3"/>
  <c r="M77" i="3"/>
  <c r="C77" i="3"/>
  <c r="E77" i="3"/>
  <c r="B77" i="3"/>
  <c r="D77" i="3"/>
  <c r="F77" i="3"/>
  <c r="J77" i="3"/>
  <c r="O77" i="3"/>
  <c r="G77" i="3"/>
  <c r="K77" i="3"/>
  <c r="H77" i="3"/>
  <c r="I77" i="3"/>
  <c r="L77" i="3"/>
  <c r="O41" i="3"/>
  <c r="K41" i="3"/>
  <c r="G41" i="3"/>
  <c r="E41" i="3"/>
  <c r="J41" i="3"/>
  <c r="L41" i="3"/>
  <c r="I41" i="3"/>
  <c r="D41" i="3"/>
  <c r="C41" i="3"/>
  <c r="F41" i="3"/>
  <c r="B41" i="3"/>
  <c r="M41" i="3"/>
  <c r="N41" i="3"/>
  <c r="B24" i="2"/>
  <c r="D35" i="3"/>
  <c r="L35" i="3"/>
  <c r="I35" i="3"/>
  <c r="E35" i="3"/>
  <c r="M35" i="3"/>
  <c r="O35" i="3"/>
  <c r="F35" i="3"/>
  <c r="N35" i="3"/>
  <c r="G35" i="3"/>
  <c r="B35" i="3"/>
  <c r="J35" i="3"/>
  <c r="C35" i="3"/>
  <c r="K35" i="3"/>
  <c r="H35" i="3"/>
  <c r="C27" i="3"/>
  <c r="D27" i="3"/>
  <c r="L27" i="3"/>
  <c r="E27" i="3"/>
  <c r="M27" i="3"/>
  <c r="F27" i="3"/>
  <c r="N27" i="3"/>
  <c r="G27" i="3"/>
  <c r="O27" i="3"/>
  <c r="K27" i="3"/>
  <c r="H27" i="3"/>
  <c r="B27" i="3"/>
  <c r="I27" i="3"/>
  <c r="J27" i="3"/>
  <c r="G31" i="3"/>
  <c r="I31" i="3"/>
  <c r="J31" i="3"/>
  <c r="C31" i="3"/>
  <c r="K31" i="3"/>
  <c r="D31" i="3"/>
  <c r="L31" i="3"/>
  <c r="H31" i="3"/>
  <c r="B31" i="3"/>
  <c r="E31" i="3"/>
  <c r="M31" i="3"/>
  <c r="F31" i="3"/>
  <c r="N31" i="3"/>
  <c r="O31" i="3"/>
  <c r="E63" i="3"/>
  <c r="M63" i="3"/>
  <c r="N63" i="3"/>
  <c r="F63" i="3"/>
  <c r="H63" i="3"/>
  <c r="B63" i="3"/>
  <c r="J63" i="3"/>
  <c r="C63" i="3"/>
  <c r="K63" i="3"/>
  <c r="L63" i="3"/>
  <c r="G63" i="3"/>
  <c r="O63" i="3"/>
  <c r="I63" i="3"/>
  <c r="D63" i="3"/>
  <c r="M9" i="3"/>
  <c r="F9" i="3"/>
  <c r="N9" i="3"/>
  <c r="H9" i="3"/>
  <c r="I9" i="3"/>
  <c r="J9" i="3"/>
  <c r="C9" i="3"/>
  <c r="K9" i="3"/>
  <c r="D9" i="3"/>
  <c r="G9" i="3"/>
  <c r="O9" i="3"/>
  <c r="L9" i="3"/>
  <c r="E9" i="3"/>
  <c r="B9" i="3"/>
  <c r="G8" i="3"/>
  <c r="O8" i="3"/>
  <c r="H8" i="3"/>
  <c r="J8" i="3"/>
  <c r="D8" i="3"/>
  <c r="K8" i="3"/>
  <c r="E8" i="3"/>
  <c r="L8" i="3"/>
  <c r="M8" i="3"/>
  <c r="B8" i="3"/>
  <c r="I8" i="3"/>
  <c r="C8" i="3"/>
  <c r="F8" i="3"/>
  <c r="N8" i="3"/>
  <c r="I7" i="3"/>
  <c r="D7" i="3"/>
  <c r="J7" i="3"/>
  <c r="E7" i="3"/>
  <c r="L7" i="3"/>
  <c r="M7" i="3"/>
  <c r="F7" i="3"/>
  <c r="N7" i="3"/>
  <c r="O7" i="3"/>
  <c r="K7" i="3"/>
  <c r="B7" i="3"/>
  <c r="G7" i="3"/>
  <c r="H7" i="3"/>
  <c r="C7" i="3"/>
  <c r="C29" i="3"/>
  <c r="K29" i="3"/>
  <c r="D29" i="3"/>
  <c r="L29" i="3"/>
  <c r="F29" i="3"/>
  <c r="N29" i="3"/>
  <c r="O29" i="3"/>
  <c r="H29" i="3"/>
  <c r="B29" i="3"/>
  <c r="I29" i="3"/>
  <c r="E29" i="3"/>
  <c r="M29" i="3"/>
  <c r="G29" i="3"/>
  <c r="J29" i="3"/>
  <c r="L36" i="3"/>
  <c r="D36" i="3"/>
  <c r="G36" i="3"/>
  <c r="M36" i="3"/>
  <c r="B36" i="3"/>
  <c r="C36" i="3"/>
  <c r="N36" i="3"/>
  <c r="I36" i="3"/>
  <c r="J36" i="3"/>
  <c r="O36" i="3"/>
  <c r="E36" i="3"/>
  <c r="F36" i="3"/>
  <c r="H36" i="3"/>
  <c r="K36" i="3"/>
  <c r="F37" i="3"/>
  <c r="L37" i="3"/>
  <c r="N37" i="3"/>
  <c r="O37" i="3"/>
  <c r="G37" i="3"/>
  <c r="I37" i="3"/>
  <c r="M37" i="3"/>
  <c r="C37" i="3"/>
  <c r="H37" i="3"/>
  <c r="J37" i="3"/>
  <c r="K37" i="3"/>
  <c r="D37" i="3"/>
  <c r="E37" i="3"/>
  <c r="B37" i="3"/>
  <c r="K38" i="3"/>
  <c r="C38" i="3"/>
  <c r="L38" i="3"/>
  <c r="J38" i="3"/>
  <c r="M38" i="3"/>
  <c r="B38" i="3"/>
  <c r="G38" i="3"/>
  <c r="D38" i="3"/>
  <c r="E38" i="3"/>
  <c r="F38" i="3"/>
  <c r="H38" i="3"/>
  <c r="N38" i="3"/>
  <c r="I38" i="3"/>
  <c r="O38" i="3"/>
  <c r="E30" i="3"/>
  <c r="F30" i="3"/>
  <c r="B30" i="3"/>
  <c r="C30" i="3"/>
  <c r="D30" i="3"/>
  <c r="I30" i="3"/>
  <c r="O30" i="3"/>
  <c r="L30" i="3"/>
  <c r="M30" i="3"/>
  <c r="G30" i="3"/>
  <c r="H30" i="3"/>
  <c r="N30" i="3"/>
  <c r="J30" i="3"/>
  <c r="K30" i="3"/>
  <c r="B34" i="3"/>
  <c r="N34" i="3"/>
  <c r="I34" i="3"/>
  <c r="C34" i="3"/>
  <c r="F34" i="3"/>
  <c r="D34" i="3"/>
  <c r="E34" i="3"/>
  <c r="O34" i="3"/>
  <c r="G34" i="3"/>
  <c r="H34" i="3"/>
  <c r="J34" i="3"/>
  <c r="K34" i="3"/>
  <c r="L34" i="3"/>
  <c r="M34" i="3"/>
  <c r="E40" i="3"/>
  <c r="I40" i="3"/>
  <c r="C40" i="3"/>
  <c r="D40" i="3"/>
  <c r="F40" i="3"/>
  <c r="O40" i="3"/>
  <c r="J40" i="3"/>
  <c r="M40" i="3"/>
  <c r="N40" i="3"/>
  <c r="G40" i="3"/>
  <c r="H40" i="3"/>
  <c r="K40" i="3"/>
  <c r="L40" i="3"/>
  <c r="B40" i="3"/>
  <c r="M33" i="3"/>
  <c r="O33" i="3"/>
  <c r="E33" i="3"/>
  <c r="J33" i="3"/>
  <c r="L33" i="3"/>
  <c r="B33" i="3"/>
  <c r="C33" i="3"/>
  <c r="D33" i="3"/>
  <c r="N33" i="3"/>
  <c r="H33" i="3"/>
  <c r="I33" i="3"/>
  <c r="F33" i="3"/>
  <c r="G33" i="3"/>
  <c r="K33" i="3"/>
  <c r="N39" i="3"/>
  <c r="C39" i="3"/>
  <c r="E39" i="3"/>
  <c r="G39" i="3"/>
  <c r="K39" i="3"/>
  <c r="L39" i="3"/>
  <c r="M39" i="3"/>
  <c r="O39" i="3"/>
  <c r="D39" i="3"/>
  <c r="F39" i="3"/>
  <c r="H39" i="3"/>
  <c r="I39" i="3"/>
  <c r="J39" i="3"/>
  <c r="B39" i="3"/>
  <c r="D28" i="3"/>
  <c r="G28" i="3"/>
  <c r="I28" i="3"/>
  <c r="J28" i="3"/>
  <c r="N28" i="3"/>
  <c r="E28" i="3"/>
  <c r="F28" i="3"/>
  <c r="H28" i="3"/>
  <c r="B28" i="3"/>
  <c r="K28" i="3"/>
  <c r="L28" i="3"/>
  <c r="C28" i="3"/>
  <c r="O28" i="3"/>
  <c r="M28" i="3"/>
  <c r="N32" i="3"/>
  <c r="H32" i="3"/>
  <c r="L32" i="3"/>
  <c r="M32" i="3"/>
  <c r="D32" i="3"/>
  <c r="O32" i="3"/>
  <c r="I32" i="3"/>
  <c r="K32" i="3"/>
  <c r="F32" i="3"/>
  <c r="J32" i="3"/>
  <c r="B32" i="3"/>
  <c r="E32" i="3"/>
  <c r="C32" i="3"/>
  <c r="G32" i="3"/>
  <c r="F11" i="2"/>
  <c r="F5" i="2" s="1"/>
  <c r="B10" i="2" l="1"/>
  <c r="B11" i="2" l="1"/>
  <c r="B5" i="2" s="1"/>
  <c r="K10" i="3"/>
  <c r="C10" i="3"/>
  <c r="B10" i="3"/>
  <c r="L10" i="3"/>
  <c r="D10" i="3"/>
  <c r="F10" i="3"/>
  <c r="N10" i="3"/>
  <c r="G10" i="3"/>
  <c r="O10" i="3"/>
  <c r="H10" i="3"/>
  <c r="I10" i="3"/>
  <c r="M10" i="3"/>
  <c r="E10" i="3"/>
  <c r="J10" i="3"/>
  <c r="B21" i="2"/>
  <c r="B17" i="2"/>
  <c r="F84" i="3"/>
  <c r="C110" i="2"/>
  <c r="C111" i="2"/>
  <c r="C112" i="2"/>
  <c r="C113" i="2"/>
  <c r="C114" i="2"/>
  <c r="C115" i="2"/>
  <c r="C116" i="2"/>
  <c r="C117" i="2"/>
  <c r="C118" i="2"/>
  <c r="C119" i="2"/>
  <c r="C120" i="2"/>
  <c r="C121" i="2"/>
  <c r="C122" i="2"/>
  <c r="C109" i="2"/>
  <c r="E109" i="2" s="1"/>
  <c r="C108" i="2"/>
  <c r="C103" i="2"/>
  <c r="B124" i="2"/>
  <c r="E124" i="2" s="1"/>
  <c r="B123" i="2"/>
  <c r="E123" i="2" s="1"/>
  <c r="B108" i="2"/>
  <c r="B103" i="2"/>
  <c r="B47" i="2" l="1"/>
  <c r="B43" i="2"/>
  <c r="B44" i="2"/>
  <c r="B48" i="2"/>
  <c r="B46" i="2"/>
  <c r="B45" i="2"/>
  <c r="B42" i="2"/>
  <c r="E103" i="2"/>
  <c r="H62" i="3" s="1"/>
  <c r="E108" i="2"/>
  <c r="N64" i="3" s="1"/>
  <c r="E122" i="2"/>
  <c r="O65" i="3" s="1"/>
  <c r="E121" i="2"/>
  <c r="N65" i="3" s="1"/>
  <c r="E112" i="2"/>
  <c r="E65" i="3" s="1"/>
  <c r="E113" i="2"/>
  <c r="F65" i="3" s="1"/>
  <c r="E120" i="2"/>
  <c r="M65" i="3" s="1"/>
  <c r="E111" i="2"/>
  <c r="D65" i="3" s="1"/>
  <c r="E114" i="2"/>
  <c r="G65" i="3" s="1"/>
  <c r="E118" i="2"/>
  <c r="K65" i="3" s="1"/>
  <c r="E110" i="2"/>
  <c r="C65" i="3" s="1"/>
  <c r="E115" i="2"/>
  <c r="H65" i="3" s="1"/>
  <c r="E117" i="2"/>
  <c r="J65" i="3" s="1"/>
  <c r="E119" i="2"/>
  <c r="L65" i="3" s="1"/>
  <c r="E116" i="2"/>
  <c r="I65" i="3" s="1"/>
  <c r="B65" i="3"/>
  <c r="K67" i="3"/>
  <c r="F66" i="3"/>
  <c r="H6" i="3"/>
  <c r="I6" i="3"/>
  <c r="B6" i="3"/>
  <c r="K6" i="3"/>
  <c r="O6" i="3"/>
  <c r="L6" i="3"/>
  <c r="E6" i="3"/>
  <c r="M6" i="3"/>
  <c r="F6" i="3"/>
  <c r="N6" i="3"/>
  <c r="J6" i="3"/>
  <c r="D6" i="3"/>
  <c r="B4" i="7" s="1"/>
  <c r="G6" i="3"/>
  <c r="C6" i="3"/>
  <c r="I11" i="3"/>
  <c r="J11" i="3"/>
  <c r="B11" i="3"/>
  <c r="L11" i="3"/>
  <c r="C11" i="3"/>
  <c r="M11" i="3"/>
  <c r="D11" i="3"/>
  <c r="F11" i="3"/>
  <c r="N11" i="3"/>
  <c r="E11" i="3"/>
  <c r="G11" i="3"/>
  <c r="O11" i="3"/>
  <c r="K11" i="3"/>
  <c r="H11" i="3"/>
  <c r="B14" i="2"/>
  <c r="E83" i="3"/>
  <c r="I83" i="3"/>
  <c r="F83" i="3"/>
  <c r="L83" i="3"/>
  <c r="B83" i="3"/>
  <c r="D83" i="3"/>
  <c r="H83" i="3"/>
  <c r="G83" i="3"/>
  <c r="C83" i="3"/>
  <c r="D84" i="3"/>
  <c r="H84" i="3"/>
  <c r="B84" i="3"/>
  <c r="E84" i="3"/>
  <c r="I84" i="3"/>
  <c r="C84" i="3"/>
  <c r="G84" i="3"/>
  <c r="M84" i="3"/>
  <c r="L84" i="3"/>
  <c r="M83" i="3"/>
  <c r="C49" i="3" l="1"/>
  <c r="J49" i="3"/>
  <c r="D49" i="3"/>
  <c r="M49" i="3"/>
  <c r="K49" i="3"/>
  <c r="L49" i="3"/>
  <c r="I49" i="3"/>
  <c r="B49" i="3"/>
  <c r="E49" i="3"/>
  <c r="H49" i="3"/>
  <c r="N49" i="3"/>
  <c r="O49" i="3"/>
  <c r="G49" i="3"/>
  <c r="F49" i="3"/>
  <c r="D53" i="3"/>
  <c r="M53" i="3"/>
  <c r="F53" i="3"/>
  <c r="H53" i="3"/>
  <c r="N53" i="3"/>
  <c r="I53" i="3"/>
  <c r="G53" i="3"/>
  <c r="C53" i="3"/>
  <c r="E53" i="3"/>
  <c r="L53" i="3"/>
  <c r="O53" i="3"/>
  <c r="J53" i="3"/>
  <c r="K53" i="3"/>
  <c r="B53" i="3"/>
  <c r="I48" i="3"/>
  <c r="E48" i="3"/>
  <c r="K48" i="3"/>
  <c r="N48" i="3"/>
  <c r="J48" i="3"/>
  <c r="M48" i="3"/>
  <c r="B48" i="3"/>
  <c r="L48" i="3"/>
  <c r="C48" i="3"/>
  <c r="F48" i="3"/>
  <c r="G48" i="3"/>
  <c r="D48" i="3"/>
  <c r="O48" i="3"/>
  <c r="H48" i="3"/>
  <c r="N51" i="3"/>
  <c r="G51" i="3"/>
  <c r="K51" i="3"/>
  <c r="M51" i="3"/>
  <c r="I51" i="3"/>
  <c r="L51" i="3"/>
  <c r="F51" i="3"/>
  <c r="J51" i="3"/>
  <c r="H51" i="3"/>
  <c r="B51" i="3"/>
  <c r="O51" i="3"/>
  <c r="D51" i="3"/>
  <c r="C51" i="3"/>
  <c r="E51" i="3"/>
  <c r="I52" i="3"/>
  <c r="G52" i="3"/>
  <c r="N52" i="3"/>
  <c r="K52" i="3"/>
  <c r="J52" i="3"/>
  <c r="B52" i="3"/>
  <c r="M52" i="3"/>
  <c r="H52" i="3"/>
  <c r="O52" i="3"/>
  <c r="E52" i="3"/>
  <c r="C52" i="3"/>
  <c r="F52" i="3"/>
  <c r="L52" i="3"/>
  <c r="D52" i="3"/>
  <c r="I50" i="3"/>
  <c r="C50" i="3"/>
  <c r="D50" i="3"/>
  <c r="J50" i="3"/>
  <c r="K50" i="3"/>
  <c r="L50" i="3"/>
  <c r="H50" i="3"/>
  <c r="E50" i="3"/>
  <c r="M50" i="3"/>
  <c r="F50" i="3"/>
  <c r="N50" i="3"/>
  <c r="G50" i="3"/>
  <c r="O50" i="3"/>
  <c r="B50" i="3"/>
  <c r="C47" i="3"/>
  <c r="K47" i="3"/>
  <c r="D47" i="3"/>
  <c r="L47" i="3"/>
  <c r="B31" i="2"/>
  <c r="B26" i="3" s="1"/>
  <c r="E47" i="3"/>
  <c r="M47" i="3"/>
  <c r="F47" i="3"/>
  <c r="N47" i="3"/>
  <c r="G47" i="3"/>
  <c r="O47" i="3"/>
  <c r="B47" i="3"/>
  <c r="H47" i="3"/>
  <c r="I47" i="3"/>
  <c r="J47" i="3"/>
  <c r="F82" i="3"/>
  <c r="C67" i="3"/>
  <c r="O67" i="3"/>
  <c r="M67" i="3"/>
  <c r="I67" i="3"/>
  <c r="F67" i="3"/>
  <c r="L67" i="3"/>
  <c r="J67" i="3"/>
  <c r="B67" i="3"/>
  <c r="N67" i="3"/>
  <c r="H67" i="3"/>
  <c r="G67" i="3"/>
  <c r="D67" i="3"/>
  <c r="E67" i="3"/>
  <c r="M62" i="3"/>
  <c r="O66" i="3"/>
  <c r="M66" i="3"/>
  <c r="D62" i="3"/>
  <c r="J64" i="3"/>
  <c r="M64" i="3"/>
  <c r="B64" i="3"/>
  <c r="I66" i="3"/>
  <c r="J66" i="3"/>
  <c r="L66" i="3"/>
  <c r="C64" i="3"/>
  <c r="F62" i="3"/>
  <c r="H64" i="3"/>
  <c r="L64" i="3"/>
  <c r="K62" i="3"/>
  <c r="F64" i="3"/>
  <c r="L62" i="3"/>
  <c r="J62" i="3"/>
  <c r="E64" i="3"/>
  <c r="C62" i="3"/>
  <c r="O62" i="3"/>
  <c r="C66" i="3"/>
  <c r="K64" i="3"/>
  <c r="D66" i="3"/>
  <c r="G62" i="3"/>
  <c r="B66" i="3"/>
  <c r="I64" i="3"/>
  <c r="G66" i="3"/>
  <c r="B62" i="3"/>
  <c r="K66" i="3"/>
  <c r="G64" i="3"/>
  <c r="N66" i="3"/>
  <c r="E62" i="3"/>
  <c r="I62" i="3"/>
  <c r="N62" i="3"/>
  <c r="H66" i="3"/>
  <c r="O64" i="3"/>
  <c r="E66" i="3"/>
  <c r="D64" i="3"/>
  <c r="M82" i="3"/>
  <c r="D82" i="3"/>
  <c r="I82" i="3"/>
  <c r="H82" i="3"/>
  <c r="E82" i="3"/>
  <c r="B82" i="3"/>
  <c r="C82" i="3"/>
  <c r="G82" i="3"/>
  <c r="L82" i="3"/>
  <c r="J61" i="3" l="1"/>
  <c r="I61" i="3"/>
  <c r="E61" i="3"/>
  <c r="G61" i="3"/>
  <c r="H61" i="3"/>
  <c r="M61" i="3"/>
  <c r="K61" i="3"/>
  <c r="B61" i="3"/>
  <c r="C61" i="3"/>
  <c r="F61" i="3"/>
  <c r="D61" i="3"/>
  <c r="L61" i="3"/>
  <c r="O61" i="3"/>
  <c r="B9" i="7" s="1"/>
  <c r="N61" i="3"/>
  <c r="O26" i="3"/>
  <c r="C21" i="3" l="1"/>
  <c r="G21" i="3"/>
  <c r="K21" i="3"/>
  <c r="O21" i="3"/>
  <c r="D21" i="3"/>
  <c r="B6" i="7" s="1"/>
  <c r="H21" i="3"/>
  <c r="F21" i="3"/>
  <c r="M21" i="3"/>
  <c r="L21" i="3"/>
  <c r="B21" i="3"/>
  <c r="E21" i="3"/>
  <c r="N21" i="3"/>
  <c r="I21" i="3"/>
  <c r="J21" i="3"/>
  <c r="E13" i="3" l="1"/>
  <c r="I13" i="3"/>
  <c r="M13" i="3"/>
  <c r="G13" i="3"/>
  <c r="L13" i="3"/>
  <c r="B13" i="3"/>
  <c r="B86" i="3" s="1"/>
  <c r="C13" i="3"/>
  <c r="H13" i="3"/>
  <c r="N13" i="3"/>
  <c r="D13" i="3"/>
  <c r="B5" i="7" s="1"/>
  <c r="J13" i="3"/>
  <c r="O13" i="3"/>
  <c r="F13" i="3"/>
  <c r="K13" i="3"/>
  <c r="F22" i="3"/>
  <c r="J22" i="3"/>
  <c r="N22" i="3"/>
  <c r="E22" i="3"/>
  <c r="K22" i="3"/>
  <c r="B22" i="3"/>
  <c r="G22" i="3"/>
  <c r="M22" i="3"/>
  <c r="H22" i="3"/>
  <c r="O22" i="3"/>
  <c r="C22" i="3"/>
  <c r="I22" i="3"/>
  <c r="D22" i="3"/>
  <c r="L22" i="3"/>
  <c r="C19" i="3" l="1"/>
  <c r="G19" i="3"/>
  <c r="K19" i="3"/>
  <c r="O19" i="3"/>
  <c r="D19" i="3"/>
  <c r="I19" i="3"/>
  <c r="N19" i="3"/>
  <c r="J19" i="3"/>
  <c r="F19" i="3"/>
  <c r="L19" i="3"/>
  <c r="H19" i="3"/>
  <c r="M19" i="3"/>
  <c r="E19" i="3"/>
  <c r="B19" i="3"/>
  <c r="D14" i="3"/>
  <c r="H14" i="3"/>
  <c r="L14" i="3"/>
  <c r="E14" i="3"/>
  <c r="J14" i="3"/>
  <c r="O14" i="3"/>
  <c r="F14" i="3"/>
  <c r="G14" i="3"/>
  <c r="M14" i="3"/>
  <c r="B14" i="3"/>
  <c r="C14" i="3"/>
  <c r="I14" i="3"/>
  <c r="N14" i="3"/>
  <c r="K14" i="3"/>
  <c r="E17" i="3"/>
  <c r="I17" i="3"/>
  <c r="M17" i="3"/>
  <c r="B17" i="3"/>
  <c r="C17" i="3"/>
  <c r="H17" i="3"/>
  <c r="N17" i="3"/>
  <c r="J17" i="3"/>
  <c r="D17" i="3"/>
  <c r="F17" i="3"/>
  <c r="K17" i="3"/>
  <c r="G17" i="3"/>
  <c r="L17" i="3"/>
  <c r="O17" i="3"/>
  <c r="D18" i="3"/>
  <c r="H18" i="3"/>
  <c r="L18" i="3"/>
  <c r="F18" i="3"/>
  <c r="K18" i="3"/>
  <c r="B18" i="3"/>
  <c r="M18" i="3"/>
  <c r="G18" i="3"/>
  <c r="C18" i="3"/>
  <c r="I18" i="3"/>
  <c r="N18" i="3"/>
  <c r="E18" i="3"/>
  <c r="J18" i="3"/>
  <c r="O18" i="3"/>
  <c r="C15" i="3"/>
  <c r="G15" i="3"/>
  <c r="K15" i="3"/>
  <c r="O15" i="3"/>
  <c r="H15" i="3"/>
  <c r="M15" i="3"/>
  <c r="I15" i="3"/>
  <c r="D15" i="3"/>
  <c r="N15" i="3"/>
  <c r="E15" i="3"/>
  <c r="J15" i="3"/>
  <c r="B15" i="3"/>
  <c r="F15" i="3"/>
  <c r="L15" i="3"/>
  <c r="E23" i="3"/>
  <c r="I23" i="3"/>
  <c r="M23" i="3"/>
  <c r="C23" i="3"/>
  <c r="H23" i="3"/>
  <c r="N23" i="3"/>
  <c r="G23" i="3"/>
  <c r="O23" i="3"/>
  <c r="J23" i="3"/>
  <c r="D23" i="3"/>
  <c r="K23" i="3"/>
  <c r="B23" i="3"/>
  <c r="F23" i="3"/>
  <c r="L23" i="3"/>
  <c r="F16" i="3"/>
  <c r="J16" i="3"/>
  <c r="N16" i="3"/>
  <c r="E16" i="3"/>
  <c r="K16" i="3"/>
  <c r="G16" i="3"/>
  <c r="C16" i="3"/>
  <c r="H16" i="3"/>
  <c r="M16" i="3"/>
  <c r="D16" i="3"/>
  <c r="I16" i="3"/>
  <c r="O16" i="3"/>
  <c r="B16" i="3"/>
  <c r="L16" i="3"/>
  <c r="D24" i="3"/>
  <c r="F24" i="3"/>
  <c r="J24" i="3"/>
  <c r="N24" i="3"/>
  <c r="H24" i="3"/>
  <c r="M24" i="3"/>
  <c r="C24" i="3"/>
  <c r="I24" i="3"/>
  <c r="O24" i="3"/>
  <c r="E24" i="3"/>
  <c r="K24" i="3"/>
  <c r="G24" i="3"/>
  <c r="L24" i="3"/>
  <c r="B24" i="3"/>
  <c r="C26" i="3" l="1"/>
  <c r="G26" i="3"/>
  <c r="G86" i="3" s="1"/>
  <c r="K26" i="3"/>
  <c r="K86" i="3" s="1"/>
  <c r="O86" i="3"/>
  <c r="D26" i="3"/>
  <c r="H26" i="3"/>
  <c r="H86" i="3" s="1"/>
  <c r="L26" i="3"/>
  <c r="L86" i="3" s="1"/>
  <c r="J26" i="3"/>
  <c r="J86" i="3" s="1"/>
  <c r="E26" i="3"/>
  <c r="E86" i="3" s="1"/>
  <c r="N26" i="3"/>
  <c r="N86" i="3" s="1"/>
  <c r="F26" i="3"/>
  <c r="F86" i="3" s="1"/>
  <c r="I26" i="3"/>
  <c r="I86" i="3" s="1"/>
  <c r="M26" i="3"/>
  <c r="M86" i="3" s="1"/>
  <c r="D86" i="3" l="1"/>
  <c r="B7" i="7"/>
  <c r="C86" i="3"/>
  <c r="B11" i="7" l="1"/>
  <c r="D4" i="7" s="1"/>
  <c r="D5" i="7" l="1"/>
  <c r="D8" i="7"/>
  <c r="D9" i="7"/>
  <c r="D11" i="7"/>
  <c r="D7" i="7"/>
  <c r="D10" i="7"/>
  <c r="D6" i="7"/>
</calcChain>
</file>

<file path=xl/sharedStrings.xml><?xml version="1.0" encoding="utf-8"?>
<sst xmlns="http://schemas.openxmlformats.org/spreadsheetml/2006/main" count="955" uniqueCount="475">
  <si>
    <t>For use, please download the latest version from FigShare.</t>
  </si>
  <si>
    <r>
      <rPr>
        <vertAlign val="superscript"/>
        <sz val="11"/>
        <color theme="1"/>
        <rFont val="Calibri"/>
        <family val="2"/>
        <scheme val="minor"/>
      </rPr>
      <t>d</t>
    </r>
    <r>
      <rPr>
        <sz val="11"/>
        <color theme="1"/>
        <rFont val="Calibri"/>
        <family val="2"/>
        <scheme val="minor"/>
      </rPr>
      <t xml:space="preserve"> International Centre for Brewing Science, Division of Microbiology, Brewing and Biotechnology,</t>
    </r>
  </si>
  <si>
    <t xml:space="preserve"> University of Nottingham, Sutton Bonington Campus, Loughborough LE12 5RD, UK</t>
  </si>
  <si>
    <t>User inputs</t>
  </si>
  <si>
    <t>Specific data inputs to be input by the user are presented under the:</t>
  </si>
  <si>
    <t>User inputs tab</t>
  </si>
  <si>
    <t>It is recommended that if the actual usage, distance, or yields are known these value are replaced. However, if unknown, the default values should be used. The defualt values are all shown in Column E.</t>
  </si>
  <si>
    <t>Data and assumptions</t>
  </si>
  <si>
    <t>All data and assumptions used to calculate the final carbon footprint are displayed under the:</t>
  </si>
  <si>
    <t>Data and assumptions tab</t>
  </si>
  <si>
    <t>Data inputs that are pulled from the user inputs tab are filled in green, e.g:</t>
  </si>
  <si>
    <t>Calculations</t>
  </si>
  <si>
    <t>The calculations should not need ammending by the user, however all underlying calculations can be viewed under the:</t>
  </si>
  <si>
    <t>Calculations tab</t>
  </si>
  <si>
    <t>Results breakdown</t>
  </si>
  <si>
    <t>Results breakdown presents a detailed breakdown of the carbon footprint for each packaging option. This provides the user with the contribution of each part of the beer manufacturing process in kg CO2 equivalents per litre of beer.</t>
  </si>
  <si>
    <t>Results summary</t>
  </si>
  <si>
    <t>This section summaries the results. A dropdown menu can be used to provide a  breakdown of the contributing factors to the total carbon footprint. A summary graph of all packaging options is also provided.</t>
  </si>
  <si>
    <t>Barley cultivation</t>
  </si>
  <si>
    <t>Default values:</t>
  </si>
  <si>
    <t xml:space="preserve">Malt use </t>
  </si>
  <si>
    <t xml:space="preserve">kg per litre of beer </t>
  </si>
  <si>
    <t>Barley type</t>
  </si>
  <si>
    <t>Average</t>
  </si>
  <si>
    <t></t>
  </si>
  <si>
    <t>(drop down menu)</t>
  </si>
  <si>
    <t>Average is a 50:50 split of spring and winter barley</t>
  </si>
  <si>
    <t>Hop cultivation</t>
  </si>
  <si>
    <t>Hop use</t>
  </si>
  <si>
    <t>g per litre of beer</t>
  </si>
  <si>
    <t>Hop origin</t>
  </si>
  <si>
    <t>UK</t>
  </si>
  <si>
    <t>Brewing process</t>
  </si>
  <si>
    <t>Electricity use</t>
  </si>
  <si>
    <t>kWh per litre of beer</t>
  </si>
  <si>
    <t>Natural gas use</t>
  </si>
  <si>
    <t>Water use</t>
  </si>
  <si>
    <t>Litres per litre of beer</t>
  </si>
  <si>
    <t>Wastewater</t>
  </si>
  <si>
    <t>Sodium hydroxide use (brewing process)</t>
  </si>
  <si>
    <t>Yeast use</t>
  </si>
  <si>
    <t>Diatomaceous earth use</t>
  </si>
  <si>
    <t>Phosphoric acid use</t>
  </si>
  <si>
    <t>Carbon dioxide use</t>
  </si>
  <si>
    <t>Calcium sulphate</t>
  </si>
  <si>
    <t>g per litre of brewing water</t>
  </si>
  <si>
    <t>Calcium chloride</t>
  </si>
  <si>
    <t>Unmalted barley</t>
  </si>
  <si>
    <t>Malted wheat</t>
  </si>
  <si>
    <t>Malted oats</t>
  </si>
  <si>
    <t>Malted rye</t>
  </si>
  <si>
    <t>Unalted wheat</t>
  </si>
  <si>
    <t>Unmalted oats</t>
  </si>
  <si>
    <t>Unmalted rye</t>
  </si>
  <si>
    <t>Milling</t>
  </si>
  <si>
    <t>kWh electricity per litre of beer</t>
  </si>
  <si>
    <t>These values are utilized for determining the proportional impact of each brewing stage, instead of calculating the overall carbon footprint (which is calculated using the values in cells B10 to B18). As a result, assigning any of these values as zero will modify the percentage distribution of brewing stages (E74 to F89 on the "Data and assumptions" tab), but will not affect the total carbon footprint. This approach enables brewers to exclude any irrelevant parts of the brewing process that do not represent their process.</t>
  </si>
  <si>
    <t>Mashing</t>
  </si>
  <si>
    <t>kWh natural gas per litre of beer</t>
  </si>
  <si>
    <t>Mash filtration</t>
  </si>
  <si>
    <t>Boiling</t>
  </si>
  <si>
    <t>Fermentation</t>
  </si>
  <si>
    <t>Pasteurisation</t>
  </si>
  <si>
    <t>Maturation</t>
  </si>
  <si>
    <t>Filtration</t>
  </si>
  <si>
    <t>Cleaning</t>
  </si>
  <si>
    <t>Packaging (electricity)</t>
  </si>
  <si>
    <t>Packaging (natural gas)</t>
  </si>
  <si>
    <t>Compressed air</t>
  </si>
  <si>
    <t>Pumps</t>
  </si>
  <si>
    <t>Facility HVAC</t>
  </si>
  <si>
    <t>Lighting</t>
  </si>
  <si>
    <t>Transport</t>
  </si>
  <si>
    <t>Barley delivery distance</t>
  </si>
  <si>
    <t>km</t>
  </si>
  <si>
    <t>Barley truck type</t>
  </si>
  <si>
    <t>HGV (&gt;17 tonnes)</t>
  </si>
  <si>
    <t>Hops delivery distance</t>
  </si>
  <si>
    <t>Country or origin specific, see 'Data and assumptions' sheet for details</t>
  </si>
  <si>
    <t>Hops truck type</t>
  </si>
  <si>
    <t>Malt delivery distance</t>
  </si>
  <si>
    <t>Malt truck type</t>
  </si>
  <si>
    <t>Packaging delivery distance</t>
  </si>
  <si>
    <t>Packaging truck type</t>
  </si>
  <si>
    <t>Yeast delivery distance</t>
  </si>
  <si>
    <t>Yeast truck type</t>
  </si>
  <si>
    <t>Sodium hydroxide delivery distance</t>
  </si>
  <si>
    <t>Sodium hydroxide truck type</t>
  </si>
  <si>
    <t>Phosphoric acid delivery distance</t>
  </si>
  <si>
    <t>Phosphoric acid truck type</t>
  </si>
  <si>
    <t>Diatomaceous earth delivery distance</t>
  </si>
  <si>
    <t>Diatomaceous earth truck type</t>
  </si>
  <si>
    <t>Carbon dioxide distance</t>
  </si>
  <si>
    <t>Carbon dioxide truck type</t>
  </si>
  <si>
    <t>Calcium sulphate distance</t>
  </si>
  <si>
    <t>Calcium sulphate type</t>
  </si>
  <si>
    <t>Calcium chloride distance</t>
  </si>
  <si>
    <t>Calcium chloride type</t>
  </si>
  <si>
    <t>Wheat distance</t>
  </si>
  <si>
    <t>Wheat truck type</t>
  </si>
  <si>
    <t>Oats distance</t>
  </si>
  <si>
    <t>Oats truck type</t>
  </si>
  <si>
    <t>Rye distance</t>
  </si>
  <si>
    <t>Rye truck type</t>
  </si>
  <si>
    <t>Packaged beer distance</t>
  </si>
  <si>
    <t>Packaged beer truck type</t>
  </si>
  <si>
    <t>Packaging</t>
  </si>
  <si>
    <t>Sodium hydroxide use to clean a resuable glass bottle</t>
  </si>
  <si>
    <t>g</t>
  </si>
  <si>
    <t>Sodium hydroxide use to clean a steel keg</t>
  </si>
  <si>
    <t>Electricity carbon footprint</t>
  </si>
  <si>
    <r>
      <t>g CO</t>
    </r>
    <r>
      <rPr>
        <vertAlign val="subscript"/>
        <sz val="11"/>
        <color theme="1"/>
        <rFont val="Calibri"/>
        <family val="2"/>
        <scheme val="minor"/>
      </rPr>
      <t>2</t>
    </r>
    <r>
      <rPr>
        <sz val="11"/>
        <color theme="1"/>
        <rFont val="Calibri"/>
        <family val="2"/>
        <scheme val="minor"/>
      </rPr>
      <t xml:space="preserve"> e per kWh</t>
    </r>
  </si>
  <si>
    <t xml:space="preserve">Natural gas carbon footprint </t>
  </si>
  <si>
    <t>This includes production and consumption (scope 1 and 2 emissions)</t>
  </si>
  <si>
    <t>Water use carbon footprint</t>
  </si>
  <si>
    <r>
      <t>g CO</t>
    </r>
    <r>
      <rPr>
        <vertAlign val="subscript"/>
        <sz val="11"/>
        <color theme="1"/>
        <rFont val="Calibri"/>
        <family val="2"/>
        <scheme val="minor"/>
      </rPr>
      <t>2</t>
    </r>
    <r>
      <rPr>
        <sz val="11"/>
        <color theme="1"/>
        <rFont val="Calibri"/>
        <family val="2"/>
        <scheme val="minor"/>
      </rPr>
      <t xml:space="preserve"> e per kg</t>
    </r>
  </si>
  <si>
    <t>Wastewater carbon footprint</t>
  </si>
  <si>
    <t>Sodium hydroxide carbon footprint</t>
  </si>
  <si>
    <r>
      <t>g CO</t>
    </r>
    <r>
      <rPr>
        <vertAlign val="subscript"/>
        <sz val="11"/>
        <color theme="1"/>
        <rFont val="Calibri"/>
        <family val="2"/>
        <scheme val="minor"/>
      </rPr>
      <t>2</t>
    </r>
    <r>
      <rPr>
        <sz val="11"/>
        <color theme="1"/>
        <rFont val="Calibri"/>
        <family val="2"/>
        <scheme val="minor"/>
      </rPr>
      <t xml:space="preserve"> e per g</t>
    </r>
  </si>
  <si>
    <t>Yeast carbon footprint</t>
  </si>
  <si>
    <t>Phosphoric acid carbon footprint</t>
  </si>
  <si>
    <t>Diatomaceous earth carbon footprint</t>
  </si>
  <si>
    <t>Calcium sulphate carbon footprint</t>
  </si>
  <si>
    <t>Calcium chloride carbon footprint</t>
  </si>
  <si>
    <t xml:space="preserve">Barley to malt ratio </t>
  </si>
  <si>
    <t>Seed rate</t>
  </si>
  <si>
    <t>kg per hectare</t>
  </si>
  <si>
    <t>Barley seed emission factor</t>
  </si>
  <si>
    <t>Yield</t>
  </si>
  <si>
    <t>Nitrogen fertiliser application (spring barley)</t>
  </si>
  <si>
    <t>Nitrogen fertiliser application (winter barley)</t>
  </si>
  <si>
    <t>Nitrogen fertiliser emission factor</t>
  </si>
  <si>
    <t>Phosphate fertiliser application (spring barley)</t>
  </si>
  <si>
    <t>Phosphate fertiliser application (winter barley)</t>
  </si>
  <si>
    <t>Phosphate fertiliser emission factor</t>
  </si>
  <si>
    <t>Potash fertiliser application (spring barley)</t>
  </si>
  <si>
    <t>Potash fertiliser application (winter barley)</t>
  </si>
  <si>
    <t>Potash fertiliser emission factor</t>
  </si>
  <si>
    <t>Diesel</t>
  </si>
  <si>
    <t>L per hectare</t>
  </si>
  <si>
    <t>Diesel emission factor</t>
  </si>
  <si>
    <r>
      <t>g CO</t>
    </r>
    <r>
      <rPr>
        <vertAlign val="subscript"/>
        <sz val="11"/>
        <color theme="1"/>
        <rFont val="Calibri"/>
        <family val="2"/>
        <scheme val="minor"/>
      </rPr>
      <t>2</t>
    </r>
    <r>
      <rPr>
        <sz val="11"/>
        <color theme="1"/>
        <rFont val="Calibri"/>
        <family val="2"/>
        <scheme val="minor"/>
      </rPr>
      <t xml:space="preserve"> e per MJ</t>
    </r>
  </si>
  <si>
    <t xml:space="preserve">Diesel energy content </t>
  </si>
  <si>
    <t>MJ per litre</t>
  </si>
  <si>
    <r>
      <t>N fertiliser to N</t>
    </r>
    <r>
      <rPr>
        <vertAlign val="subscript"/>
        <sz val="11"/>
        <color theme="1"/>
        <rFont val="Calibri"/>
        <family val="2"/>
        <scheme val="minor"/>
      </rPr>
      <t>2</t>
    </r>
    <r>
      <rPr>
        <sz val="11"/>
        <color theme="1"/>
        <rFont val="Calibri"/>
        <family val="2"/>
        <scheme val="minor"/>
      </rPr>
      <t>O emissions conversion</t>
    </r>
  </si>
  <si>
    <t>% (w/w)</t>
  </si>
  <si>
    <r>
      <t>N</t>
    </r>
    <r>
      <rPr>
        <vertAlign val="subscript"/>
        <sz val="11"/>
        <color theme="1"/>
        <rFont val="Calibri"/>
        <family val="2"/>
        <scheme val="minor"/>
      </rPr>
      <t>2</t>
    </r>
    <r>
      <rPr>
        <sz val="11"/>
        <color theme="1"/>
        <rFont val="Calibri"/>
        <family val="2"/>
        <scheme val="minor"/>
      </rPr>
      <t>O emission factor</t>
    </r>
  </si>
  <si>
    <r>
      <t>kg CO</t>
    </r>
    <r>
      <rPr>
        <vertAlign val="subscript"/>
        <sz val="11"/>
        <color theme="1"/>
        <rFont val="Calibri"/>
        <family val="2"/>
        <scheme val="minor"/>
      </rPr>
      <t>2</t>
    </r>
    <r>
      <rPr>
        <sz val="11"/>
        <color theme="1"/>
        <rFont val="Calibri"/>
        <family val="2"/>
        <scheme val="minor"/>
      </rPr>
      <t xml:space="preserve"> e per kg</t>
    </r>
  </si>
  <si>
    <t>Other - proportion</t>
  </si>
  <si>
    <t>Nitrogen fertiliser application</t>
  </si>
  <si>
    <t>Phosphorus fertiliser application</t>
  </si>
  <si>
    <t>Potassium fertiliser application</t>
  </si>
  <si>
    <t>Gallons per hectare</t>
  </si>
  <si>
    <t>Gasoline</t>
  </si>
  <si>
    <r>
      <t>kg CO</t>
    </r>
    <r>
      <rPr>
        <vertAlign val="subscript"/>
        <sz val="11"/>
        <color theme="1"/>
        <rFont val="Calibri"/>
        <family val="2"/>
        <scheme val="minor"/>
      </rPr>
      <t>2</t>
    </r>
    <r>
      <rPr>
        <sz val="11"/>
        <color theme="1"/>
        <rFont val="Calibri"/>
        <family val="2"/>
        <scheme val="minor"/>
      </rPr>
      <t xml:space="preserve"> e per gallon</t>
    </r>
  </si>
  <si>
    <t>Gasoline emission factor</t>
  </si>
  <si>
    <t>Fuel oil</t>
  </si>
  <si>
    <t>L per kg hops</t>
  </si>
  <si>
    <t>Propane emission factor</t>
  </si>
  <si>
    <r>
      <t>kg CO</t>
    </r>
    <r>
      <rPr>
        <vertAlign val="subscript"/>
        <sz val="11"/>
        <color theme="1"/>
        <rFont val="Calibri"/>
        <family val="2"/>
        <scheme val="minor"/>
      </rPr>
      <t>2</t>
    </r>
    <r>
      <rPr>
        <sz val="11"/>
        <color theme="1"/>
        <rFont val="Calibri"/>
        <family val="2"/>
        <scheme val="minor"/>
      </rPr>
      <t xml:space="preserve"> e per litre</t>
    </r>
  </si>
  <si>
    <t xml:space="preserve">Pesticides - proportion </t>
  </si>
  <si>
    <t xml:space="preserve">Other - proportion </t>
  </si>
  <si>
    <t xml:space="preserve">Malting process </t>
  </si>
  <si>
    <t>kWh per kg malt</t>
  </si>
  <si>
    <t>kg per kg malt</t>
  </si>
  <si>
    <t xml:space="preserve">Steeping - electricity consumption proportion </t>
  </si>
  <si>
    <t>Germination - electricity consumption proportion</t>
  </si>
  <si>
    <t xml:space="preserve">Drying - electricity consumption proportion </t>
  </si>
  <si>
    <t xml:space="preserve">Steeping - natural gas consumption proportion </t>
  </si>
  <si>
    <t>Germination - natural gas consumption proportion</t>
  </si>
  <si>
    <t xml:space="preserve">Drying - natural gas consumption proportion </t>
  </si>
  <si>
    <t>Electricity to compress carbon dioxide</t>
  </si>
  <si>
    <t>kWh per g</t>
  </si>
  <si>
    <t>Wheat cultivation multiplication factor</t>
  </si>
  <si>
    <t>Rye cultivation multiplication factor</t>
  </si>
  <si>
    <t>Oats cultivation multiplication factor</t>
  </si>
  <si>
    <t>Stage</t>
  </si>
  <si>
    <t>Proportion electricity</t>
  </si>
  <si>
    <t>Proportion natural gas</t>
  </si>
  <si>
    <t xml:space="preserve">Packaging </t>
  </si>
  <si>
    <t xml:space="preserve">Ratio of UK waste landfilled versus incinerated </t>
  </si>
  <si>
    <t>Glass</t>
  </si>
  <si>
    <t>Virgin glass carbon footprint</t>
  </si>
  <si>
    <t xml:space="preserve">Recycled glass carbon footprint </t>
  </si>
  <si>
    <t xml:space="preserve">UK glass recycling rate </t>
  </si>
  <si>
    <t>%</t>
  </si>
  <si>
    <t>Proportion recycled glass in production</t>
  </si>
  <si>
    <t>Bottle filling carbon footprint</t>
  </si>
  <si>
    <r>
      <t>g CO</t>
    </r>
    <r>
      <rPr>
        <vertAlign val="subscript"/>
        <sz val="11"/>
        <color theme="1"/>
        <rFont val="Calibri"/>
        <family val="2"/>
        <scheme val="minor"/>
      </rPr>
      <t>2</t>
    </r>
    <r>
      <rPr>
        <sz val="11"/>
        <color theme="1"/>
        <rFont val="Calibri"/>
        <family val="2"/>
        <scheme val="minor"/>
      </rPr>
      <t xml:space="preserve"> e per litre of beer</t>
    </r>
  </si>
  <si>
    <t xml:space="preserve">Glass recycling carbon footprint </t>
  </si>
  <si>
    <t xml:space="preserve">Glass landfill carbon footprint </t>
  </si>
  <si>
    <t xml:space="preserve">Glass incineration carbon footprint </t>
  </si>
  <si>
    <t xml:space="preserve">Weight of 0.33 litre glass beer bottle </t>
  </si>
  <si>
    <t>kg</t>
  </si>
  <si>
    <t xml:space="preserve">Weight of 0.5 litre glass beer bottle </t>
  </si>
  <si>
    <t xml:space="preserve">Weight of 0.33 litre reusable glass beer bottle </t>
  </si>
  <si>
    <t xml:space="preserve">Weight of 0.5 litre reusable glass beer bottle </t>
  </si>
  <si>
    <t xml:space="preserve">Reuse rate of reusbale glass bottles </t>
  </si>
  <si>
    <t>Electricity use per reusable bottle clean</t>
  </si>
  <si>
    <t xml:space="preserve">Natural gas use per resuasble bottle clean </t>
  </si>
  <si>
    <t xml:space="preserve">Sodium hydroxide use per reusable bottle clean </t>
  </si>
  <si>
    <t xml:space="preserve">g per litre of beer </t>
  </si>
  <si>
    <t xml:space="preserve">Water use per reusable bottle clean </t>
  </si>
  <si>
    <t>Carbon footprint per resuable bottle clean</t>
  </si>
  <si>
    <t xml:space="preserve">Aluminium </t>
  </si>
  <si>
    <t>Virgin aluminium carbon footprint</t>
  </si>
  <si>
    <t xml:space="preserve">Recycled aluminium carbon footprint </t>
  </si>
  <si>
    <t xml:space="preserve">UK aluminium recycling rate </t>
  </si>
  <si>
    <t>Proportion recycled aluminium in production</t>
  </si>
  <si>
    <t>Can filling carbon footprint</t>
  </si>
  <si>
    <t xml:space="preserve">Aluminium recycling carbon footprint </t>
  </si>
  <si>
    <t xml:space="preserve">Aluminium landfill carbon footprint </t>
  </si>
  <si>
    <t xml:space="preserve">Aluminium incineration carbon footprint </t>
  </si>
  <si>
    <t>Weight of 0.33 litre aluminium beer can</t>
  </si>
  <si>
    <t>Weight of 0.5 litre aluminium beer can</t>
  </si>
  <si>
    <t>Steel</t>
  </si>
  <si>
    <t>Virgin steel carbon footprint</t>
  </si>
  <si>
    <t xml:space="preserve">Recycled steel carbon footprint </t>
  </si>
  <si>
    <t xml:space="preserve">UK steel recycling rate </t>
  </si>
  <si>
    <t>Proportion recycled steel in production</t>
  </si>
  <si>
    <t xml:space="preserve">Steel recycling carbon footprint </t>
  </si>
  <si>
    <t xml:space="preserve">Steel landfill carbon footprint </t>
  </si>
  <si>
    <t xml:space="preserve">Steel incineration carbon footprint </t>
  </si>
  <si>
    <t>Weight of 0.33 litre steel beer can</t>
  </si>
  <si>
    <t xml:space="preserve">Weight of 0.5 litre steel beer can </t>
  </si>
  <si>
    <t xml:space="preserve">Weight of 20 litre reusable steel beer keg </t>
  </si>
  <si>
    <t xml:space="preserve">Weight of 30 litre reusable steel beer keg </t>
  </si>
  <si>
    <t>Reuse rate of steel kegs</t>
  </si>
  <si>
    <t>Carbon footprint to clean and fill steel kegs</t>
  </si>
  <si>
    <r>
      <t>g CO</t>
    </r>
    <r>
      <rPr>
        <vertAlign val="subscript"/>
        <sz val="11"/>
        <color theme="1"/>
        <rFont val="Calibri"/>
        <family val="2"/>
        <scheme val="minor"/>
      </rPr>
      <t>2</t>
    </r>
    <r>
      <rPr>
        <sz val="11"/>
        <color theme="1"/>
        <rFont val="Calibri"/>
        <family val="2"/>
        <scheme val="minor"/>
      </rPr>
      <t xml:space="preserve"> e per clean per litre of beer</t>
    </r>
  </si>
  <si>
    <t>Energy to crusk steel keg during recycling</t>
  </si>
  <si>
    <t>kWh</t>
  </si>
  <si>
    <t>g per keg</t>
  </si>
  <si>
    <t>PET</t>
  </si>
  <si>
    <t>Virgin PET carbon footprint</t>
  </si>
  <si>
    <t xml:space="preserve">Recycled PET carbon footprint </t>
  </si>
  <si>
    <t xml:space="preserve">UK PET recycling rate </t>
  </si>
  <si>
    <t>Proportion recycled PET in production</t>
  </si>
  <si>
    <t xml:space="preserve">PET recycling carbon footprint </t>
  </si>
  <si>
    <t xml:space="preserve">PET landfill carbon footprint </t>
  </si>
  <si>
    <t xml:space="preserve">PET incineration carbon footprint </t>
  </si>
  <si>
    <t>Weight of 0.33 litre PET beer bottle</t>
  </si>
  <si>
    <t>Weight of 0.5 litre PET beer bottle</t>
  </si>
  <si>
    <t>Weight of 20 litre PET beer keg</t>
  </si>
  <si>
    <t xml:space="preserve">Weight of 30 litre PET beer keg </t>
  </si>
  <si>
    <t>Carbon footprint to fill PET kegs</t>
  </si>
  <si>
    <t xml:space="preserve">Secondary and tertiary packaging </t>
  </si>
  <si>
    <t>Mass of paper label</t>
  </si>
  <si>
    <t>g per bottle</t>
  </si>
  <si>
    <t>Paper recycled content</t>
  </si>
  <si>
    <t>Virgin paper production</t>
  </si>
  <si>
    <t>Recycled paper production</t>
  </si>
  <si>
    <t>Adhesive mass</t>
  </si>
  <si>
    <t>Adhesive emission factor</t>
  </si>
  <si>
    <t>Paper landfill carbon footprint</t>
  </si>
  <si>
    <t>Paper incineration carbon footprint</t>
  </si>
  <si>
    <t>Paper recycling carbon footrpint</t>
  </si>
  <si>
    <t>Bottle closure</t>
  </si>
  <si>
    <t xml:space="preserve">Can closure </t>
  </si>
  <si>
    <t>g per can</t>
  </si>
  <si>
    <t>Cardboard bottle mass</t>
  </si>
  <si>
    <t>Cardboard can mass</t>
  </si>
  <si>
    <t>Virgin paperboard production</t>
  </si>
  <si>
    <t xml:space="preserve">Recycled paperboard production </t>
  </si>
  <si>
    <t>Bottle pallet mass</t>
  </si>
  <si>
    <t>Can pallet mass</t>
  </si>
  <si>
    <t>Keg pallet mass</t>
  </si>
  <si>
    <t>Bottle LDPE mass</t>
  </si>
  <si>
    <t>Can LDPE mass</t>
  </si>
  <si>
    <t xml:space="preserve">Wood recycling carbon footprint </t>
  </si>
  <si>
    <t>LDPE recycling carbon footprint</t>
  </si>
  <si>
    <t>LDPE landfill carbon footprint</t>
  </si>
  <si>
    <t>LDPE incineration carbon footprint</t>
  </si>
  <si>
    <t>Virgin wood production</t>
  </si>
  <si>
    <t xml:space="preserve">Virgin LDPE production </t>
  </si>
  <si>
    <t>Recycled LDPE production</t>
  </si>
  <si>
    <t>Pallet resuse rate</t>
  </si>
  <si>
    <t>LDPE recycled content</t>
  </si>
  <si>
    <t>Barley distance</t>
  </si>
  <si>
    <t>Malt distance</t>
  </si>
  <si>
    <t xml:space="preserve">Carbon dioxide distance </t>
  </si>
  <si>
    <t>Unmalted wheat distance</t>
  </si>
  <si>
    <t>Unmalted oats distance</t>
  </si>
  <si>
    <t>Unmalted rye distance</t>
  </si>
  <si>
    <t>Transportation vehicle</t>
  </si>
  <si>
    <t>EU</t>
  </si>
  <si>
    <t>USA</t>
  </si>
  <si>
    <t>AU/NZ</t>
  </si>
  <si>
    <t>Truck</t>
  </si>
  <si>
    <t>Ship</t>
  </si>
  <si>
    <t>Truck emission factor</t>
  </si>
  <si>
    <r>
      <t>g CO</t>
    </r>
    <r>
      <rPr>
        <vertAlign val="subscript"/>
        <sz val="11"/>
        <color theme="1"/>
        <rFont val="Calibri"/>
        <family val="2"/>
        <scheme val="minor"/>
      </rPr>
      <t>2</t>
    </r>
    <r>
      <rPr>
        <sz val="11"/>
        <color theme="1"/>
        <rFont val="Calibri"/>
        <family val="2"/>
        <scheme val="minor"/>
      </rPr>
      <t xml:space="preserve"> e per tonne km</t>
    </r>
  </si>
  <si>
    <t>Container ship emission factor</t>
  </si>
  <si>
    <t>Refrigeration</t>
  </si>
  <si>
    <t>Proportion of products cooled</t>
  </si>
  <si>
    <t>Retail display unit power demand</t>
  </si>
  <si>
    <t>kW per litre of beer</t>
  </si>
  <si>
    <t>Time cooled before sale</t>
  </si>
  <si>
    <t>days</t>
  </si>
  <si>
    <t>Domestic time cooled</t>
  </si>
  <si>
    <t>Domestic refrigerator power</t>
  </si>
  <si>
    <t>kW</t>
  </si>
  <si>
    <t>Domestic refrigerator capacity</t>
  </si>
  <si>
    <t>L</t>
  </si>
  <si>
    <t>Refridgerant leakage carbon footprint</t>
  </si>
  <si>
    <t>% (of total)</t>
  </si>
  <si>
    <t>Spring barley</t>
  </si>
  <si>
    <t>Winter barley</t>
  </si>
  <si>
    <t>Total</t>
  </si>
  <si>
    <t>Fertiliser production</t>
  </si>
  <si>
    <r>
      <t>N</t>
    </r>
    <r>
      <rPr>
        <vertAlign val="subscript"/>
        <sz val="11"/>
        <color theme="1"/>
        <rFont val="Calibri"/>
        <family val="2"/>
        <scheme val="minor"/>
      </rPr>
      <t>2</t>
    </r>
    <r>
      <rPr>
        <sz val="11"/>
        <color theme="1"/>
        <rFont val="Calibri"/>
        <family val="2"/>
        <scheme val="minor"/>
      </rPr>
      <t>O emissions</t>
    </r>
  </si>
  <si>
    <t>Agricultural field operations</t>
  </si>
  <si>
    <t>Seed production</t>
  </si>
  <si>
    <t>Other</t>
  </si>
  <si>
    <t>Pesticides</t>
  </si>
  <si>
    <t>Soil emissions</t>
  </si>
  <si>
    <t>Drying</t>
  </si>
  <si>
    <t>Agricultural machinery</t>
  </si>
  <si>
    <t>Malting process</t>
  </si>
  <si>
    <t>Steeping</t>
  </si>
  <si>
    <t>Germination</t>
  </si>
  <si>
    <r>
      <t>kg CO</t>
    </r>
    <r>
      <rPr>
        <vertAlign val="subscript"/>
        <sz val="11"/>
        <color theme="1"/>
        <rFont val="Calibri"/>
        <family val="2"/>
        <scheme val="minor"/>
      </rPr>
      <t>2</t>
    </r>
    <r>
      <rPr>
        <sz val="11"/>
        <color theme="1"/>
        <rFont val="Calibri"/>
        <family val="2"/>
        <scheme val="minor"/>
      </rPr>
      <t xml:space="preserve"> e per litre of beer</t>
    </r>
  </si>
  <si>
    <t>Sodium hydroxide use</t>
  </si>
  <si>
    <t>Calcium sulphate use</t>
  </si>
  <si>
    <t>Calcium chloride use</t>
  </si>
  <si>
    <t>Unmalted barley use</t>
  </si>
  <si>
    <t>Malted wheat use</t>
  </si>
  <si>
    <t>Malted oats use</t>
  </si>
  <si>
    <t>Malted rye use</t>
  </si>
  <si>
    <t>Unalted wheat use</t>
  </si>
  <si>
    <t>Unmalted oats use</t>
  </si>
  <si>
    <t>Unmalted rye use</t>
  </si>
  <si>
    <t>Material weight per litre of beer (kg)</t>
  </si>
  <si>
    <t>Material production</t>
  </si>
  <si>
    <t>Disposal</t>
  </si>
  <si>
    <t>Filling and cleaning</t>
  </si>
  <si>
    <t>Secondary and tertiary packaging</t>
  </si>
  <si>
    <t xml:space="preserve">0.33 litre glass bottle </t>
  </si>
  <si>
    <t>0.5 litre glass bottle</t>
  </si>
  <si>
    <t>0.33 litre reusable glass bottle</t>
  </si>
  <si>
    <t>0.5 litre reusable glass bottle</t>
  </si>
  <si>
    <t>0.33 litre aluminium can</t>
  </si>
  <si>
    <t>0.5 litre aluminium can</t>
  </si>
  <si>
    <t>0.33 litre steel can</t>
  </si>
  <si>
    <t>0.5 litre steel can</t>
  </si>
  <si>
    <t xml:space="preserve">20 litre steel keg </t>
  </si>
  <si>
    <t xml:space="preserve">30 litre steel keg </t>
  </si>
  <si>
    <t>0.33 litre PET bottle</t>
  </si>
  <si>
    <t>0.5 litre PET bottle</t>
  </si>
  <si>
    <t xml:space="preserve">20 litre PET keg </t>
  </si>
  <si>
    <t xml:space="preserve">30 litre PET keg </t>
  </si>
  <si>
    <t>Labels and adhesive (0.33 litre)</t>
  </si>
  <si>
    <t>Labels and adhesive (0.5 litre)</t>
  </si>
  <si>
    <t>Steel bottle cap (0.33 litre)</t>
  </si>
  <si>
    <t>Steel bottle cap (0.5 litre)</t>
  </si>
  <si>
    <t>PET bottle cap (0.33 litre)</t>
  </si>
  <si>
    <t>PET bottle cap (0.5 litre)</t>
  </si>
  <si>
    <t>Aluminium can closure (0.33 litre)</t>
  </si>
  <si>
    <t>Aluminium can closure (0.5 litre)</t>
  </si>
  <si>
    <t>Steel can closure (0.33 litre)</t>
  </si>
  <si>
    <t>Steel can closure (0.5 litre)</t>
  </si>
  <si>
    <t>Cardboard bottles</t>
  </si>
  <si>
    <t>Cardboard cans</t>
  </si>
  <si>
    <t>Pallet bottles</t>
  </si>
  <si>
    <t>Pallet cans</t>
  </si>
  <si>
    <t>Pallet kegs</t>
  </si>
  <si>
    <t>LDPE bottles</t>
  </si>
  <si>
    <t>LDPE cans</t>
  </si>
  <si>
    <t>Material</t>
  </si>
  <si>
    <t>Weight (kg)</t>
  </si>
  <si>
    <t>Distance - truck (km)</t>
  </si>
  <si>
    <t>Distance - ship (km)</t>
  </si>
  <si>
    <r>
      <t>Emissions (g CO</t>
    </r>
    <r>
      <rPr>
        <i/>
        <vertAlign val="subscript"/>
        <sz val="11"/>
        <color theme="1"/>
        <rFont val="Calibri"/>
        <family val="2"/>
        <scheme val="minor"/>
      </rPr>
      <t>2</t>
    </r>
    <r>
      <rPr>
        <i/>
        <sz val="11"/>
        <color theme="1"/>
        <rFont val="Calibri"/>
        <family val="2"/>
        <scheme val="minor"/>
      </rPr>
      <t xml:space="preserve"> e per litre of beer)</t>
    </r>
  </si>
  <si>
    <t>Barley</t>
  </si>
  <si>
    <t>Hops (UK)</t>
  </si>
  <si>
    <t>Hops (EU)</t>
  </si>
  <si>
    <t>Hops (US)</t>
  </si>
  <si>
    <t>Hops (AU/NZ)</t>
  </si>
  <si>
    <t xml:space="preserve">Malt </t>
  </si>
  <si>
    <t>Packaged beer - 0.33 litre glass</t>
  </si>
  <si>
    <t>Packaged beer - 0.5 litre glass</t>
  </si>
  <si>
    <t>Packaged beer - 0.33 litre reusable glass</t>
  </si>
  <si>
    <t>Packaged beer - 0.5 litre reusable glass</t>
  </si>
  <si>
    <t>Packaged beer - 0.33 litre aluminium</t>
  </si>
  <si>
    <t>Packaged beer - 0.5 litre aluminium</t>
  </si>
  <si>
    <t>Packaged beer - 0.33 litre steel</t>
  </si>
  <si>
    <t>Packaged beer - 0.5 litre steel</t>
  </si>
  <si>
    <t>Packaged beer - 20 litre steel</t>
  </si>
  <si>
    <t>Packaged beer - 30 litre steel</t>
  </si>
  <si>
    <t>Packaged beer - 0.33 litre PET</t>
  </si>
  <si>
    <t>Packaged beer - 0.5 litre PET</t>
  </si>
  <si>
    <t>Packaged beer - 20 litre PET</t>
  </si>
  <si>
    <t>Packaged beer - 30 litre PET</t>
  </si>
  <si>
    <t xml:space="preserve">Yeast </t>
  </si>
  <si>
    <t>Sodium hydroxide (brewing)</t>
  </si>
  <si>
    <t>Sodium hydroxide (reusable glass bottles)</t>
  </si>
  <si>
    <t>Sodium hydroxide (20 litre steel kegs)</t>
  </si>
  <si>
    <t>Sodium hydroxide (30 litre steel kegs)</t>
  </si>
  <si>
    <t>Phosphoric acid</t>
  </si>
  <si>
    <t>Diatomaceous earth</t>
  </si>
  <si>
    <t>Carbon dioxide</t>
  </si>
  <si>
    <t>Empty packaging - 0.33 litre glass</t>
  </si>
  <si>
    <t>Empty packaging - 0.5 litre glass</t>
  </si>
  <si>
    <t>Empty packaging - 0.33 litre reusable glass</t>
  </si>
  <si>
    <t>Empty packaging - 0.5 litre reusable glass</t>
  </si>
  <si>
    <t>Empty packaging - 0.33 litre aluminium</t>
  </si>
  <si>
    <t>Empty packaging - 0.5 litre aluminium</t>
  </si>
  <si>
    <t>Empty packaging - 0.33 litre steel</t>
  </si>
  <si>
    <t>Empty packaging - 0.5 litre steel</t>
  </si>
  <si>
    <t>Empty packaging - 20 litre steel</t>
  </si>
  <si>
    <t>Empty packaging - 30 litre steel</t>
  </si>
  <si>
    <t>Empty packaging - 0.33 litre PET</t>
  </si>
  <si>
    <t>Empty packaging - 0.5 litre PET</t>
  </si>
  <si>
    <t>Empty packaging - 20 litre PET</t>
  </si>
  <si>
    <t>Empty packaging - 30 litre PET</t>
  </si>
  <si>
    <r>
      <t>Retail (kg CO</t>
    </r>
    <r>
      <rPr>
        <i/>
        <vertAlign val="subscript"/>
        <sz val="11"/>
        <color theme="1"/>
        <rFont val="Calibri"/>
        <family val="2"/>
        <scheme val="minor"/>
      </rPr>
      <t>2</t>
    </r>
    <r>
      <rPr>
        <i/>
        <sz val="11"/>
        <color theme="1"/>
        <rFont val="Calibri"/>
        <family val="2"/>
        <scheme val="minor"/>
      </rPr>
      <t xml:space="preserve"> e per litre of beer)</t>
    </r>
  </si>
  <si>
    <r>
      <t>Domestic (kg CO</t>
    </r>
    <r>
      <rPr>
        <i/>
        <vertAlign val="subscript"/>
        <sz val="11"/>
        <color theme="1"/>
        <rFont val="Calibri"/>
        <family val="2"/>
        <scheme val="minor"/>
      </rPr>
      <t>2</t>
    </r>
    <r>
      <rPr>
        <i/>
        <sz val="11"/>
        <color theme="1"/>
        <rFont val="Calibri"/>
        <family val="2"/>
        <scheme val="minor"/>
      </rPr>
      <t xml:space="preserve"> e per litre of beer)</t>
    </r>
  </si>
  <si>
    <r>
      <t>g CO</t>
    </r>
    <r>
      <rPr>
        <b/>
        <vertAlign val="subscript"/>
        <sz val="11"/>
        <color theme="1"/>
        <rFont val="Calibri"/>
        <family val="2"/>
        <scheme val="minor"/>
      </rPr>
      <t>2</t>
    </r>
    <r>
      <rPr>
        <b/>
        <sz val="11"/>
        <color theme="1"/>
        <rFont val="Calibri"/>
        <family val="2"/>
        <scheme val="minor"/>
      </rPr>
      <t xml:space="preserve"> equivalents per litre of beer</t>
    </r>
  </si>
  <si>
    <t>Glass bottle</t>
  </si>
  <si>
    <t>Reusable glass bottle</t>
  </si>
  <si>
    <t>Aluminium can</t>
  </si>
  <si>
    <t>Steel can</t>
  </si>
  <si>
    <t>Steel keg</t>
  </si>
  <si>
    <t>PET bottle</t>
  </si>
  <si>
    <t>PET keg</t>
  </si>
  <si>
    <t>Size (litres)</t>
  </si>
  <si>
    <t>Glass bottle (330 cl)</t>
  </si>
  <si>
    <t>Glass bottle (500 cl)</t>
  </si>
  <si>
    <t>Reusable glass bottle (330 cl)</t>
  </si>
  <si>
    <t>Reusable glass bottle (500 cl)</t>
  </si>
  <si>
    <t>Aluminium can (330 cl)</t>
  </si>
  <si>
    <t>Aluminium can (500 cl)</t>
  </si>
  <si>
    <t>Steel can (330 cl)</t>
  </si>
  <si>
    <t>Steel can (500 cl)</t>
  </si>
  <si>
    <t>Steel keg (20 L)</t>
  </si>
  <si>
    <t>Steel keg (30 L)</t>
  </si>
  <si>
    <t>PET bottle (330 cl)</t>
  </si>
  <si>
    <t>PET bottle (500 cl)</t>
  </si>
  <si>
    <t>PET keg (20 L)</t>
  </si>
  <si>
    <t>PET keg (30 L)</t>
  </si>
  <si>
    <t>N2O emissions</t>
  </si>
  <si>
    <t xml:space="preserve">Brewing process </t>
  </si>
  <si>
    <t>Packaging and waste</t>
  </si>
  <si>
    <t xml:space="preserve">Material production </t>
  </si>
  <si>
    <t xml:space="preserve">Disposal </t>
  </si>
  <si>
    <t xml:space="preserve">Hops </t>
  </si>
  <si>
    <t>Packaged beer</t>
  </si>
  <si>
    <t>Sodium hydroxide</t>
  </si>
  <si>
    <t>Empty packaging</t>
  </si>
  <si>
    <t xml:space="preserve">Retail </t>
  </si>
  <si>
    <t>Domestic</t>
  </si>
  <si>
    <t>Summary dashboard</t>
  </si>
  <si>
    <t>Packaging type:</t>
  </si>
  <si>
    <t>All results:</t>
  </si>
  <si>
    <t>Process</t>
  </si>
  <si>
    <r>
      <t>g CO</t>
    </r>
    <r>
      <rPr>
        <b/>
        <vertAlign val="subscript"/>
        <sz val="11"/>
        <color theme="0"/>
        <rFont val="Calibri"/>
        <family val="2"/>
        <scheme val="minor"/>
      </rPr>
      <t>2</t>
    </r>
    <r>
      <rPr>
        <b/>
        <sz val="11"/>
        <color theme="0"/>
        <rFont val="Calibri"/>
        <family val="2"/>
        <scheme val="minor"/>
      </rPr>
      <t xml:space="preserve"> equivalents per litre of beer</t>
    </r>
  </si>
  <si>
    <t>Percentage contribution</t>
  </si>
  <si>
    <t>Hop Location</t>
  </si>
  <si>
    <t>Barley Type</t>
  </si>
  <si>
    <t>Transport emission factors:</t>
  </si>
  <si>
    <t>Spring</t>
  </si>
  <si>
    <t>HGV (&gt;3.5 - 7.5 tonnes)</t>
  </si>
  <si>
    <t>US</t>
  </si>
  <si>
    <t>Winter</t>
  </si>
  <si>
    <t>HGV (&gt;7.5 tonnes-17 tonnes)</t>
  </si>
  <si>
    <t xml:space="preserve">Development of an Open-Source Carbon Footprint Calculator for the UK Craft Brewing Value Chain </t>
  </si>
  <si>
    <t>This is the open-source calculator to support the manusciprt published in Journal of Cleaner Production.</t>
  </si>
  <si>
    <r>
      <t xml:space="preserve">Version number: 1 </t>
    </r>
    <r>
      <rPr>
        <b/>
        <sz val="11"/>
        <rFont val="Calibri"/>
        <family val="2"/>
        <scheme val="minor"/>
      </rPr>
      <t>(02/01/2024)</t>
    </r>
  </si>
  <si>
    <r>
      <rPr>
        <vertAlign val="superscript"/>
        <sz val="11"/>
        <color theme="1"/>
        <rFont val="Calibri"/>
        <family val="2"/>
        <scheme val="minor"/>
      </rPr>
      <t>a</t>
    </r>
    <r>
      <rPr>
        <sz val="11"/>
        <color theme="1"/>
        <rFont val="Calibri"/>
        <family val="2"/>
        <scheme val="minor"/>
      </rPr>
      <t xml:space="preserve"> School of Food Science and Nutrition, University of Leeds, Leeds, LS2 9JT, UK </t>
    </r>
  </si>
  <si>
    <r>
      <rPr>
        <vertAlign val="superscript"/>
        <sz val="11"/>
        <color theme="1"/>
        <rFont val="Calibri"/>
        <family val="2"/>
        <scheme val="minor"/>
      </rPr>
      <t>c</t>
    </r>
    <r>
      <rPr>
        <sz val="11"/>
        <color theme="1"/>
        <rFont val="Calibri"/>
        <family val="2"/>
        <scheme val="minor"/>
      </rPr>
      <t xml:space="preserve"> Department of Chemical and Biological Engineering, University of Sheffield, Sheffield, S1 3JD, UK</t>
    </r>
  </si>
  <si>
    <t>* Corresponding author. E-mail address: N.J.Watson@leeds.ac.uk (N.J. Watson).</t>
  </si>
  <si>
    <r>
      <rPr>
        <vertAlign val="superscript"/>
        <sz val="11"/>
        <color theme="1"/>
        <rFont val="Calibri"/>
        <family val="2"/>
        <scheme val="minor"/>
      </rPr>
      <t>b</t>
    </r>
    <r>
      <rPr>
        <sz val="11"/>
        <color theme="1"/>
        <rFont val="Calibri"/>
        <family val="2"/>
        <scheme val="minor"/>
      </rPr>
      <t xml:space="preserve"> Low Carbon Energy and Resources Technologies, Faculty of Engineering, University of Nottingham, Nottingham, NG7 2RD, UK</t>
    </r>
  </si>
  <si>
    <t>Some options contain a drop-down menu, these cells are labelled as such:</t>
  </si>
  <si>
    <r>
      <t xml:space="preserve">Alexander L. Bowler </t>
    </r>
    <r>
      <rPr>
        <i/>
        <vertAlign val="superscript"/>
        <sz val="11"/>
        <color theme="1"/>
        <rFont val="Calibri"/>
        <family val="2"/>
        <scheme val="minor"/>
      </rPr>
      <t>a</t>
    </r>
    <r>
      <rPr>
        <i/>
        <sz val="11"/>
        <color theme="1"/>
        <rFont val="Calibri"/>
        <family val="2"/>
        <scheme val="minor"/>
      </rPr>
      <t xml:space="preserve">, Sarah Rodgers </t>
    </r>
    <r>
      <rPr>
        <i/>
        <vertAlign val="superscript"/>
        <sz val="11"/>
        <color theme="1"/>
        <rFont val="Calibri"/>
        <family val="2"/>
        <scheme val="minor"/>
      </rPr>
      <t>b</t>
    </r>
    <r>
      <rPr>
        <i/>
        <sz val="11"/>
        <color theme="1"/>
        <rFont val="Calibri"/>
        <family val="2"/>
        <scheme val="minor"/>
      </rPr>
      <t xml:space="preserve">, Fanran Meng </t>
    </r>
    <r>
      <rPr>
        <i/>
        <vertAlign val="superscript"/>
        <sz val="11"/>
        <color theme="1"/>
        <rFont val="Calibri"/>
        <family val="2"/>
        <scheme val="minor"/>
      </rPr>
      <t>c</t>
    </r>
    <r>
      <rPr>
        <i/>
        <sz val="11"/>
        <color theme="1"/>
        <rFont val="Calibri"/>
        <family val="2"/>
        <scheme val="minor"/>
      </rPr>
      <t xml:space="preserve">, Jon McKechnie </t>
    </r>
    <r>
      <rPr>
        <i/>
        <vertAlign val="superscript"/>
        <sz val="11"/>
        <color theme="1"/>
        <rFont val="Calibri"/>
        <family val="2"/>
        <scheme val="minor"/>
      </rPr>
      <t>b</t>
    </r>
    <r>
      <rPr>
        <i/>
        <sz val="11"/>
        <color theme="1"/>
        <rFont val="Calibri"/>
        <family val="2"/>
        <scheme val="minor"/>
      </rPr>
      <t xml:space="preserve">, David J. Cook </t>
    </r>
    <r>
      <rPr>
        <i/>
        <vertAlign val="superscript"/>
        <sz val="11"/>
        <color theme="1"/>
        <rFont val="Calibri"/>
        <family val="2"/>
        <scheme val="minor"/>
      </rPr>
      <t>d</t>
    </r>
    <r>
      <rPr>
        <i/>
        <sz val="11"/>
        <color theme="1"/>
        <rFont val="Calibri"/>
        <family val="2"/>
        <scheme val="minor"/>
      </rPr>
      <t xml:space="preserve">, Nicholas J. Watson </t>
    </r>
    <r>
      <rPr>
        <i/>
        <vertAlign val="superscript"/>
        <sz val="11"/>
        <color theme="1"/>
        <rFont val="Calibri"/>
        <family val="2"/>
        <scheme val="minor"/>
      </rPr>
      <t>a</t>
    </r>
    <r>
      <rPr>
        <i/>
        <sz val="11"/>
        <color theme="1"/>
        <rFont val="Calibri"/>
        <family val="2"/>
        <scheme val="minor"/>
      </rPr>
      <t>*</t>
    </r>
  </si>
  <si>
    <t>https://doi.org/10.1016/j.jclepro.2023.140181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</si>
</sst>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0"/>
    <numFmt numFmtId="166" formatCode="0.0%"/>
    <numFmt numFmtId="167" formatCode="0.000"/>
  </numFmts>
  <fonts count="24" x14ac:knownFonts="1">
    <font>
      <sz val="11"/>
      <color theme="1"/>
      <name val="Calibri"/>
      <family val="2"/>
      <scheme val="minor"/>
    </font>
    <font>
      <b/>
      <sz val="11"/>
      <color theme="1"/>
      <name val="Calibri"/>
      <family val="2"/>
      <scheme val="minor"/>
    </font>
    <font>
      <vertAlign val="subscript"/>
      <sz val="11"/>
      <color theme="1"/>
      <name val="Calibri"/>
      <family val="2"/>
      <scheme val="minor"/>
    </font>
    <font>
      <i/>
      <sz val="11"/>
      <color theme="1"/>
      <name val="Calibri"/>
      <family val="2"/>
      <scheme val="minor"/>
    </font>
    <font>
      <i/>
      <vertAlign val="subscript"/>
      <sz val="11"/>
      <color theme="1"/>
      <name val="Calibri"/>
      <family val="2"/>
      <scheme val="minor"/>
    </font>
    <font>
      <b/>
      <vertAlign val="subscrip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vertAlign val="subscript"/>
      <sz val="11"/>
      <color theme="0"/>
      <name val="Calibri"/>
      <family val="2"/>
      <scheme val="minor"/>
    </font>
    <font>
      <sz val="11"/>
      <color theme="6"/>
      <name val="Wingdings 3"/>
      <family val="1"/>
      <charset val="2"/>
    </font>
    <font>
      <sz val="8"/>
      <color rgb="FF737678"/>
      <name val="Wingdings 3"/>
      <family val="1"/>
      <charset val="2"/>
    </font>
    <font>
      <b/>
      <u/>
      <sz val="14"/>
      <color theme="1"/>
      <name val="Calibri"/>
      <family val="2"/>
      <scheme val="minor"/>
    </font>
    <font>
      <sz val="8"/>
      <color rgb="FF4D5156"/>
      <name val="Arial"/>
      <family val="2"/>
    </font>
    <font>
      <sz val="8"/>
      <color rgb="FF2E2E2E"/>
      <name val="Georgia"/>
      <family val="1"/>
    </font>
    <font>
      <sz val="11"/>
      <name val="Calibri"/>
      <family val="2"/>
      <scheme val="minor"/>
    </font>
    <font>
      <sz val="11"/>
      <color rgb="FFFF0000"/>
      <name val="Calibri"/>
      <family val="2"/>
      <scheme val="minor"/>
    </font>
    <font>
      <i/>
      <sz val="11"/>
      <color theme="2" tint="-0.499984740745262"/>
      <name val="Calibri"/>
      <family val="2"/>
      <scheme val="minor"/>
    </font>
    <font>
      <sz val="11"/>
      <color theme="2" tint="-0.499984740745262"/>
      <name val="Calibri"/>
      <family val="2"/>
      <scheme val="minor"/>
    </font>
    <font>
      <i/>
      <sz val="11"/>
      <color rgb="FF7F7F7F"/>
      <name val="Calibri"/>
      <family val="2"/>
      <scheme val="minor"/>
    </font>
    <font>
      <vertAlign val="superscript"/>
      <sz val="11"/>
      <color theme="1"/>
      <name val="Calibri"/>
      <family val="2"/>
      <scheme val="minor"/>
    </font>
    <font>
      <i/>
      <vertAlign val="superscript"/>
      <sz val="11"/>
      <color theme="1"/>
      <name val="Calibri"/>
      <family val="2"/>
      <scheme val="minor"/>
    </font>
    <font>
      <b/>
      <sz val="14"/>
      <color theme="1"/>
      <name val="Calibri"/>
      <family val="2"/>
      <scheme val="minor"/>
    </font>
    <font>
      <b/>
      <sz val="11"/>
      <name val="Calibri"/>
      <family val="2"/>
      <scheme val="minor"/>
    </font>
  </fonts>
  <fills count="6">
    <fill>
      <patternFill patternType="none"/>
    </fill>
    <fill>
      <patternFill patternType="gray125"/>
    </fill>
    <fill>
      <patternFill patternType="solid">
        <fgColor theme="9"/>
        <bgColor indexed="64"/>
      </patternFill>
    </fill>
    <fill>
      <patternFill patternType="solid">
        <fgColor rgb="FF002060"/>
        <bgColor indexed="64"/>
      </patternFill>
    </fill>
    <fill>
      <patternFill patternType="solid">
        <fgColor rgb="FFF2F5F8"/>
        <bgColor indexed="64"/>
      </patternFill>
    </fill>
    <fill>
      <patternFill patternType="solid">
        <fgColor theme="2" tint="-0.249977111117893"/>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BAB6C3"/>
      </left>
      <right style="thin">
        <color rgb="FFBAB6C3"/>
      </right>
      <top style="thin">
        <color rgb="FFBAB6C3"/>
      </top>
      <bottom style="thin">
        <color rgb="FFBAB6C3"/>
      </bottom>
      <diagonal/>
    </border>
    <border>
      <left/>
      <right/>
      <top style="medium">
        <color rgb="FFEBEBEB"/>
      </top>
      <bottom style="medium">
        <color rgb="FFEBEBE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6" fillId="0" borderId="0" applyFon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cellStyleXfs>
  <cellXfs count="62">
    <xf numFmtId="0" fontId="0" fillId="0" borderId="0" xfId="0"/>
    <xf numFmtId="0" fontId="1" fillId="0" borderId="0" xfId="0" applyFont="1"/>
    <xf numFmtId="164" fontId="0" fillId="0" borderId="0" xfId="0" applyNumberFormat="1"/>
    <xf numFmtId="2" fontId="0" fillId="0" borderId="0" xfId="0" applyNumberFormat="1"/>
    <xf numFmtId="0" fontId="3" fillId="0" borderId="0" xfId="0" applyFont="1"/>
    <xf numFmtId="164" fontId="3" fillId="0" borderId="0" xfId="0" applyNumberFormat="1" applyFont="1"/>
    <xf numFmtId="165" fontId="0" fillId="0" borderId="0" xfId="0" applyNumberFormat="1"/>
    <xf numFmtId="10" fontId="0" fillId="0" borderId="0" xfId="0" applyNumberFormat="1"/>
    <xf numFmtId="0" fontId="0" fillId="2" borderId="0" xfId="0" applyFill="1"/>
    <xf numFmtId="0" fontId="0" fillId="0" borderId="1" xfId="0" applyBorder="1"/>
    <xf numFmtId="0" fontId="8" fillId="0" borderId="1" xfId="2" applyBorder="1"/>
    <xf numFmtId="0" fontId="0" fillId="0" borderId="1" xfId="0" applyBorder="1" applyAlignment="1">
      <alignment wrapText="1"/>
    </xf>
    <xf numFmtId="0" fontId="1" fillId="0" borderId="1" xfId="0" applyFont="1" applyBorder="1"/>
    <xf numFmtId="0" fontId="7" fillId="3" borderId="2" xfId="0" applyFont="1" applyFill="1" applyBorder="1"/>
    <xf numFmtId="0" fontId="0" fillId="0" borderId="2" xfId="0" applyBorder="1"/>
    <xf numFmtId="0" fontId="1" fillId="0" borderId="2" xfId="0" applyFont="1" applyBorder="1"/>
    <xf numFmtId="166" fontId="0" fillId="0" borderId="2" xfId="1" applyNumberFormat="1" applyFont="1" applyBorder="1"/>
    <xf numFmtId="9" fontId="1" fillId="0" borderId="2" xfId="1" applyFont="1" applyBorder="1"/>
    <xf numFmtId="0" fontId="11" fillId="4" borderId="5" xfId="2" applyFont="1" applyFill="1" applyBorder="1" applyAlignment="1">
      <alignment horizontal="left" vertical="top"/>
    </xf>
    <xf numFmtId="166" fontId="0" fillId="0" borderId="0" xfId="1" applyNumberFormat="1" applyFont="1" applyBorder="1"/>
    <xf numFmtId="9" fontId="1" fillId="0" borderId="0" xfId="1" applyFont="1" applyBorder="1"/>
    <xf numFmtId="167" fontId="0" fillId="0" borderId="0" xfId="0" applyNumberFormat="1"/>
    <xf numFmtId="0" fontId="13" fillId="0" borderId="0" xfId="0" applyFont="1"/>
    <xf numFmtId="0" fontId="14" fillId="0" borderId="6" xfId="0" applyFont="1" applyBorder="1" applyAlignment="1">
      <alignment horizontal="left" vertical="top" wrapText="1"/>
    </xf>
    <xf numFmtId="1" fontId="0" fillId="0" borderId="0" xfId="0" applyNumberFormat="1"/>
    <xf numFmtId="0" fontId="1" fillId="0" borderId="0" xfId="0" applyFont="1" applyAlignment="1">
      <alignment horizontal="center"/>
    </xf>
    <xf numFmtId="0" fontId="17" fillId="0" borderId="0" xfId="0" applyFont="1"/>
    <xf numFmtId="0" fontId="17" fillId="0" borderId="0" xfId="0" applyFont="1" applyAlignment="1">
      <alignment horizontal="right"/>
    </xf>
    <xf numFmtId="0" fontId="18" fillId="0" borderId="0" xfId="0" applyFont="1"/>
    <xf numFmtId="0" fontId="0" fillId="5" borderId="0" xfId="0" applyFill="1"/>
    <xf numFmtId="0" fontId="16" fillId="0" borderId="0" xfId="0" applyFont="1"/>
    <xf numFmtId="0" fontId="12" fillId="0" borderId="0" xfId="0" applyFont="1"/>
    <xf numFmtId="0" fontId="10" fillId="0" borderId="0" xfId="0" applyFont="1"/>
    <xf numFmtId="0" fontId="19" fillId="0" borderId="0" xfId="3"/>
    <xf numFmtId="0" fontId="15" fillId="0" borderId="1" xfId="0" applyFont="1" applyBorder="1" applyAlignment="1">
      <alignment wrapText="1"/>
    </xf>
    <xf numFmtId="0" fontId="0" fillId="0" borderId="7" xfId="0" applyBorder="1"/>
    <xf numFmtId="0" fontId="0" fillId="2" borderId="8" xfId="0" applyFill="1" applyBorder="1"/>
    <xf numFmtId="0" fontId="0" fillId="0" borderId="8" xfId="0" applyBorder="1"/>
    <xf numFmtId="0" fontId="17" fillId="0" borderId="8" xfId="0" applyFont="1" applyBorder="1"/>
    <xf numFmtId="0" fontId="0" fillId="0" borderId="10" xfId="0" applyBorder="1"/>
    <xf numFmtId="0" fontId="0" fillId="0" borderId="12" xfId="0" applyBorder="1"/>
    <xf numFmtId="0" fontId="0" fillId="2" borderId="13" xfId="0" applyFill="1" applyBorder="1"/>
    <xf numFmtId="0" fontId="0" fillId="0" borderId="13" xfId="0" applyBorder="1"/>
    <xf numFmtId="0" fontId="17" fillId="0" borderId="13" xfId="0" applyFont="1" applyBorder="1"/>
    <xf numFmtId="0" fontId="0" fillId="0" borderId="1" xfId="0"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center"/>
    </xf>
    <xf numFmtId="0" fontId="22" fillId="0" borderId="1" xfId="0" applyFont="1" applyBorder="1" applyAlignment="1">
      <alignment horizont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1" fillId="0" borderId="0" xfId="0" applyFont="1" applyAlignment="1">
      <alignment horizontal="center"/>
    </xf>
    <xf numFmtId="2" fontId="0" fillId="0" borderId="3" xfId="0" applyNumberFormat="1" applyBorder="1" applyAlignment="1">
      <alignment horizontal="right"/>
    </xf>
    <xf numFmtId="2" fontId="0" fillId="0" borderId="4" xfId="0" applyNumberFormat="1" applyBorder="1" applyAlignment="1">
      <alignment horizontal="right"/>
    </xf>
    <xf numFmtId="2" fontId="1" fillId="0" borderId="3" xfId="0" applyNumberFormat="1" applyFont="1" applyBorder="1" applyAlignment="1">
      <alignment horizontal="right"/>
    </xf>
    <xf numFmtId="2" fontId="1" fillId="0" borderId="4" xfId="0" applyNumberFormat="1" applyFont="1" applyBorder="1" applyAlignment="1">
      <alignment horizontal="right"/>
    </xf>
    <xf numFmtId="0" fontId="7" fillId="3" borderId="3" xfId="0" applyFont="1" applyFill="1" applyBorder="1" applyAlignment="1">
      <alignment horizontal="left"/>
    </xf>
    <xf numFmtId="0" fontId="7" fillId="3" borderId="4" xfId="0" applyFont="1" applyFill="1" applyBorder="1" applyAlignment="1">
      <alignment horizontal="left"/>
    </xf>
  </cellXfs>
  <cellStyles count="4">
    <cellStyle name="Explanatory Text" xfId="3" builtinId="53"/>
    <cellStyle name="Hyperlink" xfId="2" builtinId="8"/>
    <cellStyle name="Normal" xfId="0" builtinId="0"/>
    <cellStyle name="Percent" xfId="1" builtinId="5"/>
  </cellStyles>
  <dxfs count="0"/>
  <tableStyles count="0" defaultTableStyle="TableStyleMedium2" defaultPivotStyle="PivotStyleLight16"/>
  <colors>
    <mruColors>
      <color rgb="FFFCFCFD"/>
      <color rgb="FF737678"/>
      <color rgb="FFBAB6C3"/>
      <color rgb="FF264478"/>
      <color rgb="FFF2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0930842946958"/>
          <c:y val="3.1947368096152305E-2"/>
          <c:w val="0.86567722639321243"/>
          <c:h val="0.68019585050067077"/>
        </c:manualLayout>
      </c:layout>
      <c:barChart>
        <c:barDir val="col"/>
        <c:grouping val="stacked"/>
        <c:varyColors val="0"/>
        <c:ser>
          <c:idx val="2"/>
          <c:order val="0"/>
          <c:tx>
            <c:strRef>
              <c:f>'Results breakdown'!$A$6</c:f>
              <c:strCache>
                <c:ptCount val="1"/>
                <c:pt idx="0">
                  <c:v>Barley cultivation</c:v>
                </c:pt>
              </c:strCache>
            </c:strRef>
          </c:tx>
          <c:spPr>
            <a:solidFill>
              <a:schemeClr val="accent1"/>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breakdown'!$B$6:$O$6</c:f>
              <c:numCache>
                <c:formatCode>0.0000</c:formatCode>
                <c:ptCount val="14"/>
                <c:pt idx="0">
                  <c:v>58.683119999999995</c:v>
                </c:pt>
                <c:pt idx="1">
                  <c:v>58.683119999999995</c:v>
                </c:pt>
                <c:pt idx="2">
                  <c:v>58.683119999999995</c:v>
                </c:pt>
                <c:pt idx="3">
                  <c:v>58.683119999999995</c:v>
                </c:pt>
                <c:pt idx="4">
                  <c:v>58.683119999999995</c:v>
                </c:pt>
                <c:pt idx="5">
                  <c:v>58.683119999999995</c:v>
                </c:pt>
                <c:pt idx="6">
                  <c:v>58.683119999999995</c:v>
                </c:pt>
                <c:pt idx="7">
                  <c:v>58.683119999999995</c:v>
                </c:pt>
                <c:pt idx="8">
                  <c:v>58.683119999999995</c:v>
                </c:pt>
                <c:pt idx="9">
                  <c:v>58.683119999999995</c:v>
                </c:pt>
                <c:pt idx="10">
                  <c:v>58.683119999999995</c:v>
                </c:pt>
                <c:pt idx="11">
                  <c:v>58.683119999999995</c:v>
                </c:pt>
                <c:pt idx="12">
                  <c:v>58.683119999999995</c:v>
                </c:pt>
                <c:pt idx="13">
                  <c:v>58.683119999999995</c:v>
                </c:pt>
              </c:numCache>
            </c:numRef>
          </c:val>
          <c:extLst>
            <c:ext xmlns:c16="http://schemas.microsoft.com/office/drawing/2014/chart" uri="{C3380CC4-5D6E-409C-BE32-E72D297353CC}">
              <c16:uniqueId val="{00000001-1118-4A5A-A8E5-C25BB59B7613}"/>
            </c:ext>
          </c:extLst>
        </c:ser>
        <c:ser>
          <c:idx val="9"/>
          <c:order val="1"/>
          <c:tx>
            <c:strRef>
              <c:f>'Results breakdown'!$A$13</c:f>
              <c:strCache>
                <c:ptCount val="1"/>
                <c:pt idx="0">
                  <c:v>Hop cultivation</c:v>
                </c:pt>
              </c:strCache>
            </c:strRef>
          </c:tx>
          <c:spPr>
            <a:solidFill>
              <a:schemeClr val="accent2"/>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breakdown'!$B$13:$O$13</c:f>
              <c:numCache>
                <c:formatCode>0.0000</c:formatCode>
                <c:ptCount val="14"/>
                <c:pt idx="0">
                  <c:v>4.2788887870435328</c:v>
                </c:pt>
                <c:pt idx="1">
                  <c:v>4.2788887870435328</c:v>
                </c:pt>
                <c:pt idx="2">
                  <c:v>4.2788887870435328</c:v>
                </c:pt>
                <c:pt idx="3">
                  <c:v>4.2788887870435328</c:v>
                </c:pt>
                <c:pt idx="4">
                  <c:v>4.2788887870435328</c:v>
                </c:pt>
                <c:pt idx="5">
                  <c:v>4.2788887870435328</c:v>
                </c:pt>
                <c:pt idx="6">
                  <c:v>4.2788887870435328</c:v>
                </c:pt>
                <c:pt idx="7">
                  <c:v>4.2788887870435328</c:v>
                </c:pt>
                <c:pt idx="8">
                  <c:v>4.2788887870435328</c:v>
                </c:pt>
                <c:pt idx="9">
                  <c:v>4.2788887870435328</c:v>
                </c:pt>
                <c:pt idx="10">
                  <c:v>4.2788887870435328</c:v>
                </c:pt>
                <c:pt idx="11">
                  <c:v>4.2788887870435328</c:v>
                </c:pt>
                <c:pt idx="12">
                  <c:v>4.2788887870435328</c:v>
                </c:pt>
                <c:pt idx="13">
                  <c:v>4.2788887870435328</c:v>
                </c:pt>
              </c:numCache>
            </c:numRef>
          </c:val>
          <c:extLst>
            <c:ext xmlns:c16="http://schemas.microsoft.com/office/drawing/2014/chart" uri="{C3380CC4-5D6E-409C-BE32-E72D297353CC}">
              <c16:uniqueId val="{00000002-1118-4A5A-A8E5-C25BB59B7613}"/>
            </c:ext>
          </c:extLst>
        </c:ser>
        <c:ser>
          <c:idx val="17"/>
          <c:order val="2"/>
          <c:tx>
            <c:strRef>
              <c:f>'Results breakdown'!$A$21</c:f>
              <c:strCache>
                <c:ptCount val="1"/>
                <c:pt idx="0">
                  <c:v>Malting process</c:v>
                </c:pt>
              </c:strCache>
            </c:strRef>
          </c:tx>
          <c:spPr>
            <a:solidFill>
              <a:schemeClr val="accent3"/>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breakdown'!$B$21:$O$21</c:f>
              <c:numCache>
                <c:formatCode>0.0000</c:formatCode>
                <c:ptCount val="14"/>
                <c:pt idx="0">
                  <c:v>36.45809672</c:v>
                </c:pt>
                <c:pt idx="1">
                  <c:v>36.45809672</c:v>
                </c:pt>
                <c:pt idx="2">
                  <c:v>36.45809672</c:v>
                </c:pt>
                <c:pt idx="3">
                  <c:v>36.45809672</c:v>
                </c:pt>
                <c:pt idx="4">
                  <c:v>36.45809672</c:v>
                </c:pt>
                <c:pt idx="5">
                  <c:v>36.45809672</c:v>
                </c:pt>
                <c:pt idx="6">
                  <c:v>36.45809672</c:v>
                </c:pt>
                <c:pt idx="7">
                  <c:v>36.45809672</c:v>
                </c:pt>
                <c:pt idx="8">
                  <c:v>36.45809672</c:v>
                </c:pt>
                <c:pt idx="9">
                  <c:v>36.45809672</c:v>
                </c:pt>
                <c:pt idx="10">
                  <c:v>36.45809672</c:v>
                </c:pt>
                <c:pt idx="11">
                  <c:v>36.45809672</c:v>
                </c:pt>
                <c:pt idx="12">
                  <c:v>36.45809672</c:v>
                </c:pt>
                <c:pt idx="13">
                  <c:v>36.45809672</c:v>
                </c:pt>
              </c:numCache>
            </c:numRef>
          </c:val>
          <c:extLst>
            <c:ext xmlns:c16="http://schemas.microsoft.com/office/drawing/2014/chart" uri="{C3380CC4-5D6E-409C-BE32-E72D297353CC}">
              <c16:uniqueId val="{00000003-1118-4A5A-A8E5-C25BB59B7613}"/>
            </c:ext>
          </c:extLst>
        </c:ser>
        <c:ser>
          <c:idx val="22"/>
          <c:order val="3"/>
          <c:tx>
            <c:strRef>
              <c:f>'Results breakdown'!$A$26</c:f>
              <c:strCache>
                <c:ptCount val="1"/>
                <c:pt idx="0">
                  <c:v>Brewing process </c:v>
                </c:pt>
              </c:strCache>
            </c:strRef>
          </c:tx>
          <c:spPr>
            <a:solidFill>
              <a:schemeClr val="accent4"/>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breakdown'!$B$26:$O$26</c:f>
              <c:numCache>
                <c:formatCode>0.0000</c:formatCode>
                <c:ptCount val="14"/>
                <c:pt idx="0">
                  <c:v>165.63597999999999</c:v>
                </c:pt>
                <c:pt idx="1">
                  <c:v>165.63597999999999</c:v>
                </c:pt>
                <c:pt idx="2">
                  <c:v>165.63597999999999</c:v>
                </c:pt>
                <c:pt idx="3">
                  <c:v>165.63597999999999</c:v>
                </c:pt>
                <c:pt idx="4">
                  <c:v>165.63597999999999</c:v>
                </c:pt>
                <c:pt idx="5">
                  <c:v>165.63597999999999</c:v>
                </c:pt>
                <c:pt idx="6">
                  <c:v>165.63597999999999</c:v>
                </c:pt>
                <c:pt idx="7">
                  <c:v>165.63597999999999</c:v>
                </c:pt>
                <c:pt idx="8">
                  <c:v>165.63597999999999</c:v>
                </c:pt>
                <c:pt idx="9">
                  <c:v>165.63597999999999</c:v>
                </c:pt>
                <c:pt idx="10">
                  <c:v>165.63597999999999</c:v>
                </c:pt>
                <c:pt idx="11">
                  <c:v>165.63597999999999</c:v>
                </c:pt>
                <c:pt idx="12">
                  <c:v>165.63597999999999</c:v>
                </c:pt>
                <c:pt idx="13">
                  <c:v>165.63597999999999</c:v>
                </c:pt>
              </c:numCache>
            </c:numRef>
          </c:val>
          <c:extLst>
            <c:ext xmlns:c16="http://schemas.microsoft.com/office/drawing/2014/chart" uri="{C3380CC4-5D6E-409C-BE32-E72D297353CC}">
              <c16:uniqueId val="{00000004-1118-4A5A-A8E5-C25BB59B7613}"/>
            </c:ext>
          </c:extLst>
        </c:ser>
        <c:ser>
          <c:idx val="1"/>
          <c:order val="4"/>
          <c:tx>
            <c:strRef>
              <c:f>'Results breakdown'!$A$55</c:f>
              <c:strCache>
                <c:ptCount val="1"/>
                <c:pt idx="0">
                  <c:v>Packaging and waste</c:v>
                </c:pt>
              </c:strCache>
            </c:strRef>
          </c:tx>
          <c:spPr>
            <a:solidFill>
              <a:schemeClr val="accent5"/>
            </a:solidFill>
            <a:ln>
              <a:solidFill>
                <a:sysClr val="windowText" lastClr="000000"/>
              </a:solidFill>
            </a:ln>
            <a:effectLst/>
          </c:spPr>
          <c:invertIfNegative val="0"/>
          <c:val>
            <c:numRef>
              <c:f>'Results breakdown'!$B$55:$O$55</c:f>
              <c:numCache>
                <c:formatCode>0.0000</c:formatCode>
                <c:ptCount val="14"/>
                <c:pt idx="0">
                  <c:v>898.63882247422634</c:v>
                </c:pt>
                <c:pt idx="1">
                  <c:v>775.14390230315632</c:v>
                </c:pt>
                <c:pt idx="2">
                  <c:v>118.17380889653927</c:v>
                </c:pt>
                <c:pt idx="3">
                  <c:v>103.42771712078334</c:v>
                </c:pt>
                <c:pt idx="4">
                  <c:v>281.72265653042871</c:v>
                </c:pt>
                <c:pt idx="5">
                  <c:v>235.99806827950232</c:v>
                </c:pt>
                <c:pt idx="6">
                  <c:v>241.11353878060822</c:v>
                </c:pt>
                <c:pt idx="7">
                  <c:v>207.60672247362558</c:v>
                </c:pt>
                <c:pt idx="8">
                  <c:v>16.321912611764706</c:v>
                </c:pt>
                <c:pt idx="9">
                  <c:v>16.891559670588233</c:v>
                </c:pt>
                <c:pt idx="10">
                  <c:v>434.88053777510237</c:v>
                </c:pt>
                <c:pt idx="11">
                  <c:v>501.09357487566825</c:v>
                </c:pt>
                <c:pt idx="12">
                  <c:v>212.64013320000004</c:v>
                </c:pt>
                <c:pt idx="13">
                  <c:v>215.97871653333337</c:v>
                </c:pt>
              </c:numCache>
            </c:numRef>
          </c:val>
          <c:extLst>
            <c:ext xmlns:c16="http://schemas.microsoft.com/office/drawing/2014/chart" uri="{C3380CC4-5D6E-409C-BE32-E72D297353CC}">
              <c16:uniqueId val="{00000005-1118-4A5A-A8E5-C25BB59B7613}"/>
            </c:ext>
          </c:extLst>
        </c:ser>
        <c:ser>
          <c:idx val="35"/>
          <c:order val="5"/>
          <c:tx>
            <c:strRef>
              <c:f>'Results breakdown'!$A$61</c:f>
              <c:strCache>
                <c:ptCount val="1"/>
                <c:pt idx="0">
                  <c:v>Transport</c:v>
                </c:pt>
              </c:strCache>
            </c:strRef>
          </c:tx>
          <c:spPr>
            <a:solidFill>
              <a:schemeClr val="accent6"/>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breakdown'!$B$61:$O$61</c:f>
              <c:numCache>
                <c:formatCode>0.0000</c:formatCode>
                <c:ptCount val="14"/>
                <c:pt idx="0">
                  <c:v>111.25220281818183</c:v>
                </c:pt>
                <c:pt idx="1">
                  <c:v>104.038821</c:v>
                </c:pt>
                <c:pt idx="2">
                  <c:v>94.641644190909091</c:v>
                </c:pt>
                <c:pt idx="3">
                  <c:v>87.702950528571421</c:v>
                </c:pt>
                <c:pt idx="4">
                  <c:v>62.178664636363628</c:v>
                </c:pt>
                <c:pt idx="5">
                  <c:v>61.831069799999987</c:v>
                </c:pt>
                <c:pt idx="6">
                  <c:v>65.228572636363637</c:v>
                </c:pt>
                <c:pt idx="7">
                  <c:v>64.498623479999992</c:v>
                </c:pt>
                <c:pt idx="8">
                  <c:v>70.712231241176468</c:v>
                </c:pt>
                <c:pt idx="9">
                  <c:v>71.459283670588221</c:v>
                </c:pt>
                <c:pt idx="10">
                  <c:v>66.168566454545442</c:v>
                </c:pt>
                <c:pt idx="11">
                  <c:v>67.588701</c:v>
                </c:pt>
                <c:pt idx="12">
                  <c:v>63.311390999999986</c:v>
                </c:pt>
                <c:pt idx="13">
                  <c:v>63.373380999999988</c:v>
                </c:pt>
              </c:numCache>
            </c:numRef>
          </c:val>
          <c:extLst>
            <c:ext xmlns:c16="http://schemas.microsoft.com/office/drawing/2014/chart" uri="{C3380CC4-5D6E-409C-BE32-E72D297353CC}">
              <c16:uniqueId val="{00000006-1118-4A5A-A8E5-C25BB59B7613}"/>
            </c:ext>
          </c:extLst>
        </c:ser>
        <c:ser>
          <c:idx val="43"/>
          <c:order val="6"/>
          <c:tx>
            <c:strRef>
              <c:f>'Results breakdown'!$A$82</c:f>
              <c:strCache>
                <c:ptCount val="1"/>
                <c:pt idx="0">
                  <c:v>Refrigeration</c:v>
                </c:pt>
              </c:strCache>
            </c:strRef>
          </c:tx>
          <c:spPr>
            <a:solidFill>
              <a:srgbClr val="264478"/>
            </a:solidFill>
            <a:ln>
              <a:solidFill>
                <a:sysClr val="windowText" lastClr="000000"/>
              </a:solidFill>
            </a:ln>
            <a:effectLst/>
          </c:spPr>
          <c:invertIfNegative val="0"/>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breakdown'!$B$82:$O$82</c:f>
              <c:numCache>
                <c:formatCode>0.0000</c:formatCode>
                <c:ptCount val="14"/>
                <c:pt idx="0">
                  <c:v>31.543437500000003</c:v>
                </c:pt>
                <c:pt idx="1">
                  <c:v>31.543437500000003</c:v>
                </c:pt>
                <c:pt idx="2">
                  <c:v>31.543437500000003</c:v>
                </c:pt>
                <c:pt idx="3">
                  <c:v>31.543437500000003</c:v>
                </c:pt>
                <c:pt idx="4">
                  <c:v>31.543437500000003</c:v>
                </c:pt>
                <c:pt idx="5">
                  <c:v>31.543437500000003</c:v>
                </c:pt>
                <c:pt idx="6">
                  <c:v>31.543437500000003</c:v>
                </c:pt>
                <c:pt idx="7">
                  <c:v>31.543437500000003</c:v>
                </c:pt>
                <c:pt idx="8">
                  <c:v>0</c:v>
                </c:pt>
                <c:pt idx="9">
                  <c:v>0</c:v>
                </c:pt>
                <c:pt idx="10">
                  <c:v>31.543437500000003</c:v>
                </c:pt>
                <c:pt idx="11">
                  <c:v>31.543437500000003</c:v>
                </c:pt>
                <c:pt idx="12">
                  <c:v>0</c:v>
                </c:pt>
                <c:pt idx="13">
                  <c:v>0</c:v>
                </c:pt>
              </c:numCache>
            </c:numRef>
          </c:val>
          <c:extLst>
            <c:ext xmlns:c16="http://schemas.microsoft.com/office/drawing/2014/chart" uri="{C3380CC4-5D6E-409C-BE32-E72D297353CC}">
              <c16:uniqueId val="{00000007-1118-4A5A-A8E5-C25BB59B7613}"/>
            </c:ext>
          </c:extLst>
        </c:ser>
        <c:dLbls>
          <c:showLegendKey val="0"/>
          <c:showVal val="0"/>
          <c:showCatName val="0"/>
          <c:showSerName val="0"/>
          <c:showPercent val="0"/>
          <c:showBubbleSize val="0"/>
        </c:dLbls>
        <c:gapWidth val="150"/>
        <c:overlap val="100"/>
        <c:axId val="797173360"/>
        <c:axId val="797173688"/>
      </c:barChart>
      <c:lineChart>
        <c:grouping val="standard"/>
        <c:varyColors val="0"/>
        <c:ser>
          <c:idx val="47"/>
          <c:order val="7"/>
          <c:tx>
            <c:strRef>
              <c:f>'Results breakdown'!$A$86</c:f>
              <c:strCache>
                <c:ptCount val="1"/>
                <c:pt idx="0">
                  <c:v>Total</c:v>
                </c:pt>
              </c:strCache>
            </c:strRef>
          </c:tx>
          <c:spPr>
            <a:ln w="28575" cap="rnd">
              <a:noFill/>
              <a:round/>
            </a:ln>
            <a:effectLst/>
          </c:spPr>
          <c:marker>
            <c:symbol val="diamond"/>
            <c:size val="6"/>
            <c:spPr>
              <a:solidFill>
                <a:schemeClr val="bg1">
                  <a:lumMod val="65000"/>
                </a:schemeClr>
              </a:solidFill>
              <a:ln w="9525">
                <a:solidFill>
                  <a:schemeClr val="tx1"/>
                </a:solidFill>
              </a:ln>
              <a:effectLst/>
            </c:spPr>
          </c:marker>
          <c:dLbls>
            <c:numFmt formatCode="#,##0.00" sourceLinked="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'Results breakdown'!$B$2:$O$3</c:f>
              <c:multiLvlStrCache>
                <c:ptCount val="14"/>
                <c:lvl>
                  <c:pt idx="0">
                    <c:v>0.33</c:v>
                  </c:pt>
                  <c:pt idx="1">
                    <c:v>0.5</c:v>
                  </c:pt>
                  <c:pt idx="2">
                    <c:v>0.33</c:v>
                  </c:pt>
                  <c:pt idx="3">
                    <c:v>0.5</c:v>
                  </c:pt>
                  <c:pt idx="4">
                    <c:v>0.33</c:v>
                  </c:pt>
                  <c:pt idx="5">
                    <c:v>0.5</c:v>
                  </c:pt>
                  <c:pt idx="6">
                    <c:v>0.33</c:v>
                  </c:pt>
                  <c:pt idx="7">
                    <c:v>0.5</c:v>
                  </c:pt>
                  <c:pt idx="8">
                    <c:v>20</c:v>
                  </c:pt>
                  <c:pt idx="9">
                    <c:v>30</c:v>
                  </c:pt>
                  <c:pt idx="10">
                    <c:v>0.33</c:v>
                  </c:pt>
                  <c:pt idx="11">
                    <c:v>0.5</c:v>
                  </c:pt>
                  <c:pt idx="12">
                    <c:v>20</c:v>
                  </c:pt>
                  <c:pt idx="13">
                    <c:v>30</c:v>
                  </c:pt>
                </c:lvl>
                <c:lvl>
                  <c:pt idx="0">
                    <c:v>Glass bottle</c:v>
                  </c:pt>
                  <c:pt idx="2">
                    <c:v>Reusable glass bottle</c:v>
                  </c:pt>
                  <c:pt idx="4">
                    <c:v>Aluminium can</c:v>
                  </c:pt>
                  <c:pt idx="6">
                    <c:v>Steel can</c:v>
                  </c:pt>
                  <c:pt idx="8">
                    <c:v>Steel keg</c:v>
                  </c:pt>
                  <c:pt idx="10">
                    <c:v>PET bottle</c:v>
                  </c:pt>
                  <c:pt idx="12">
                    <c:v>PET keg</c:v>
                  </c:pt>
                </c:lvl>
              </c:multiLvlStrCache>
            </c:multiLvlStrRef>
          </c:cat>
          <c:val>
            <c:numRef>
              <c:f>'Results breakdown'!$B$86:$O$86</c:f>
              <c:numCache>
                <c:formatCode>0.0000</c:formatCode>
                <c:ptCount val="14"/>
                <c:pt idx="0">
                  <c:v>1306.4905482994516</c:v>
                </c:pt>
                <c:pt idx="1">
                  <c:v>1175.7822463102</c:v>
                </c:pt>
                <c:pt idx="2">
                  <c:v>509.41497609449186</c:v>
                </c:pt>
                <c:pt idx="3">
                  <c:v>487.73019065639829</c:v>
                </c:pt>
                <c:pt idx="4">
                  <c:v>640.50084417383584</c:v>
                </c:pt>
                <c:pt idx="5">
                  <c:v>594.42866108654584</c:v>
                </c:pt>
                <c:pt idx="6">
                  <c:v>602.94163442401532</c:v>
                </c:pt>
                <c:pt idx="7">
                  <c:v>568.70486896066905</c:v>
                </c:pt>
                <c:pt idx="8">
                  <c:v>352.09022935998473</c:v>
                </c:pt>
                <c:pt idx="9">
                  <c:v>353.40692884821993</c:v>
                </c:pt>
                <c:pt idx="10">
                  <c:v>797.64862723669125</c:v>
                </c:pt>
                <c:pt idx="11">
                  <c:v>865.28179888271177</c:v>
                </c:pt>
                <c:pt idx="12">
                  <c:v>541.00760970704357</c:v>
                </c:pt>
                <c:pt idx="13">
                  <c:v>544.40818304037691</c:v>
                </c:pt>
              </c:numCache>
            </c:numRef>
          </c:val>
          <c:smooth val="0"/>
          <c:extLst>
            <c:ext xmlns:c16="http://schemas.microsoft.com/office/drawing/2014/chart" uri="{C3380CC4-5D6E-409C-BE32-E72D297353CC}">
              <c16:uniqueId val="{00000008-1118-4A5A-A8E5-C25BB59B7613}"/>
            </c:ext>
          </c:extLst>
        </c:ser>
        <c:dLbls>
          <c:showLegendKey val="0"/>
          <c:showVal val="0"/>
          <c:showCatName val="0"/>
          <c:showSerName val="0"/>
          <c:showPercent val="0"/>
          <c:showBubbleSize val="0"/>
        </c:dLbls>
        <c:marker val="1"/>
        <c:smooth val="0"/>
        <c:axId val="797173360"/>
        <c:axId val="797173688"/>
      </c:lineChart>
      <c:catAx>
        <c:axId val="79717336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t>Packaging type and size (litres)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97173688"/>
        <c:crosses val="autoZero"/>
        <c:auto val="1"/>
        <c:lblAlgn val="ctr"/>
        <c:lblOffset val="100"/>
        <c:noMultiLvlLbl val="0"/>
      </c:catAx>
      <c:valAx>
        <c:axId val="797173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t>g CO</a:t>
                </a:r>
                <a:r>
                  <a:rPr lang="en-GB" sz="1200" baseline="-25000"/>
                  <a:t>2</a:t>
                </a:r>
                <a:r>
                  <a:rPr lang="en-GB" sz="1200"/>
                  <a:t> equivalents per litre of beer</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97173360"/>
        <c:crosses val="autoZero"/>
        <c:crossBetween val="between"/>
      </c:valAx>
      <c:spPr>
        <a:noFill/>
        <a:ln>
          <a:noFill/>
        </a:ln>
        <a:effectLst/>
      </c:spPr>
    </c:plotArea>
    <c:legend>
      <c:legendPos val="b"/>
      <c:layout>
        <c:manualLayout>
          <c:xMode val="edge"/>
          <c:yMode val="edge"/>
          <c:x val="3.2001583980612134E-4"/>
          <c:y val="0.91813941171503943"/>
          <c:w val="0.99935981786630224"/>
          <c:h val="7.622361787830897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b="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GB" sz="1200" b="1" i="0" baseline="0">
                <a:effectLst/>
              </a:rPr>
              <a:t>g CO</a:t>
            </a:r>
            <a:r>
              <a:rPr lang="en-GB" sz="1200" b="1" i="0" baseline="-25000">
                <a:effectLst/>
              </a:rPr>
              <a:t>2</a:t>
            </a:r>
            <a:r>
              <a:rPr lang="en-GB" sz="1200" b="1" i="0" baseline="0">
                <a:effectLst/>
              </a:rPr>
              <a:t> equivalents per litre of beer</a:t>
            </a:r>
            <a:endParaRPr lang="en-GB" sz="1200" b="1">
              <a:effectLst/>
            </a:endParaRPr>
          </a:p>
        </c:rich>
      </c:tx>
      <c:layout>
        <c:manualLayout>
          <c:xMode val="edge"/>
          <c:yMode val="edge"/>
          <c:x val="0.48439578573241937"/>
          <c:y val="0.76733447887359407"/>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3.9318881112543343E-2"/>
          <c:y val="0.12909256493800342"/>
          <c:w val="0.48909394002460338"/>
          <c:h val="0.74253149216242686"/>
        </c:manualLayout>
      </c:layout>
      <c:pieChart>
        <c:varyColors val="1"/>
        <c:ser>
          <c:idx val="0"/>
          <c:order val="0"/>
          <c:spPr>
            <a:ln w="9525">
              <a:solidFill>
                <a:sysClr val="windowText" lastClr="000000"/>
              </a:solidFill>
            </a:ln>
          </c:spPr>
          <c:dPt>
            <c:idx val="0"/>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1-3629-430E-9438-AF16C973F8FD}"/>
              </c:ext>
            </c:extLst>
          </c:dPt>
          <c:dPt>
            <c:idx val="1"/>
            <c:bubble3D val="0"/>
            <c:spPr>
              <a:solidFill>
                <a:schemeClr val="accent2"/>
              </a:solidFill>
              <a:ln w="9525">
                <a:solidFill>
                  <a:sysClr val="windowText" lastClr="000000"/>
                </a:solidFill>
              </a:ln>
              <a:effectLst/>
            </c:spPr>
            <c:extLst>
              <c:ext xmlns:c16="http://schemas.microsoft.com/office/drawing/2014/chart" uri="{C3380CC4-5D6E-409C-BE32-E72D297353CC}">
                <c16:uniqueId val="{00000003-3629-430E-9438-AF16C973F8FD}"/>
              </c:ext>
            </c:extLst>
          </c:dPt>
          <c:dPt>
            <c:idx val="2"/>
            <c:bubble3D val="0"/>
            <c:spPr>
              <a:solidFill>
                <a:schemeClr val="accent3"/>
              </a:solidFill>
              <a:ln w="9525">
                <a:solidFill>
                  <a:sysClr val="windowText" lastClr="000000"/>
                </a:solidFill>
              </a:ln>
              <a:effectLst/>
            </c:spPr>
            <c:extLst>
              <c:ext xmlns:c16="http://schemas.microsoft.com/office/drawing/2014/chart" uri="{C3380CC4-5D6E-409C-BE32-E72D297353CC}">
                <c16:uniqueId val="{00000005-3629-430E-9438-AF16C973F8FD}"/>
              </c:ext>
            </c:extLst>
          </c:dPt>
          <c:dPt>
            <c:idx val="3"/>
            <c:bubble3D val="0"/>
            <c:spPr>
              <a:solidFill>
                <a:schemeClr val="accent4"/>
              </a:solidFill>
              <a:ln w="9525">
                <a:solidFill>
                  <a:sysClr val="windowText" lastClr="000000"/>
                </a:solidFill>
              </a:ln>
              <a:effectLst/>
            </c:spPr>
            <c:extLst>
              <c:ext xmlns:c16="http://schemas.microsoft.com/office/drawing/2014/chart" uri="{C3380CC4-5D6E-409C-BE32-E72D297353CC}">
                <c16:uniqueId val="{00000007-3629-430E-9438-AF16C973F8FD}"/>
              </c:ext>
            </c:extLst>
          </c:dPt>
          <c:dPt>
            <c:idx val="4"/>
            <c:bubble3D val="0"/>
            <c:spPr>
              <a:solidFill>
                <a:schemeClr val="accent5"/>
              </a:solidFill>
              <a:ln w="9525">
                <a:solidFill>
                  <a:sysClr val="windowText" lastClr="000000"/>
                </a:solidFill>
              </a:ln>
              <a:effectLst/>
            </c:spPr>
            <c:extLst>
              <c:ext xmlns:c16="http://schemas.microsoft.com/office/drawing/2014/chart" uri="{C3380CC4-5D6E-409C-BE32-E72D297353CC}">
                <c16:uniqueId val="{00000009-3629-430E-9438-AF16C973F8FD}"/>
              </c:ext>
            </c:extLst>
          </c:dPt>
          <c:dPt>
            <c:idx val="5"/>
            <c:bubble3D val="0"/>
            <c:spPr>
              <a:solidFill>
                <a:schemeClr val="accent6"/>
              </a:solidFill>
              <a:ln w="9525">
                <a:solidFill>
                  <a:sysClr val="windowText" lastClr="000000"/>
                </a:solidFill>
              </a:ln>
              <a:effectLst/>
            </c:spPr>
            <c:extLst>
              <c:ext xmlns:c16="http://schemas.microsoft.com/office/drawing/2014/chart" uri="{C3380CC4-5D6E-409C-BE32-E72D297353CC}">
                <c16:uniqueId val="{0000000B-3629-430E-9438-AF16C973F8FD}"/>
              </c:ext>
            </c:extLst>
          </c:dPt>
          <c:dPt>
            <c:idx val="6"/>
            <c:bubble3D val="0"/>
            <c:spPr>
              <a:solidFill>
                <a:srgbClr val="264478"/>
              </a:solidFill>
              <a:ln w="9525">
                <a:solidFill>
                  <a:sysClr val="windowText" lastClr="000000"/>
                </a:solidFill>
              </a:ln>
              <a:effectLst/>
            </c:spPr>
            <c:extLst>
              <c:ext xmlns:c16="http://schemas.microsoft.com/office/drawing/2014/chart" uri="{C3380CC4-5D6E-409C-BE32-E72D297353CC}">
                <c16:uniqueId val="{00000001-C4D1-4AF1-B432-7511523D6CBF}"/>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'Results summary'!$A$4:$A$10</c:f>
              <c:strCache>
                <c:ptCount val="7"/>
                <c:pt idx="0">
                  <c:v>Barley cultivation</c:v>
                </c:pt>
                <c:pt idx="1">
                  <c:v>Hop cultivation</c:v>
                </c:pt>
                <c:pt idx="2">
                  <c:v>Malting process</c:v>
                </c:pt>
                <c:pt idx="3">
                  <c:v>Brewing process </c:v>
                </c:pt>
                <c:pt idx="4">
                  <c:v>Packaging and waste</c:v>
                </c:pt>
                <c:pt idx="5">
                  <c:v>Transport</c:v>
                </c:pt>
                <c:pt idx="6">
                  <c:v>Refrigeration</c:v>
                </c:pt>
              </c:strCache>
            </c:strRef>
          </c:cat>
          <c:val>
            <c:numRef>
              <c:f>'Results summary'!$B$4:$B$10</c:f>
              <c:numCache>
                <c:formatCode>0.00</c:formatCode>
                <c:ptCount val="7"/>
                <c:pt idx="0">
                  <c:v>58.683119999999995</c:v>
                </c:pt>
                <c:pt idx="1">
                  <c:v>4.2788887870435328</c:v>
                </c:pt>
                <c:pt idx="2">
                  <c:v>36.45809672</c:v>
                </c:pt>
                <c:pt idx="3">
                  <c:v>165.63597999999999</c:v>
                </c:pt>
                <c:pt idx="4">
                  <c:v>898.63882247422634</c:v>
                </c:pt>
                <c:pt idx="5">
                  <c:v>111.25220281818183</c:v>
                </c:pt>
                <c:pt idx="6">
                  <c:v>31.543437500000003</c:v>
                </c:pt>
              </c:numCache>
            </c:numRef>
          </c:val>
          <c:extLst>
            <c:ext xmlns:c16="http://schemas.microsoft.com/office/drawing/2014/chart" uri="{C3380CC4-5D6E-409C-BE32-E72D297353CC}">
              <c16:uniqueId val="{00000000-C4D1-4AF1-B432-7511523D6CBF}"/>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1.6245654740685638E-3"/>
          <c:y val="0.87827086935480292"/>
          <c:w val="0.99837534885398804"/>
          <c:h val="0.118590391216420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57150</xdr:rowOff>
    </xdr:from>
    <xdr:to>
      <xdr:col>1</xdr:col>
      <xdr:colOff>5010887</xdr:colOff>
      <xdr:row>11</xdr:row>
      <xdr:rowOff>163830</xdr:rowOff>
    </xdr:to>
    <xdr:pic>
      <xdr:nvPicPr>
        <xdr:cNvPr id="6" name="Picture 5">
          <a:extLst>
            <a:ext uri="{FF2B5EF4-FFF2-40B4-BE49-F238E27FC236}">
              <a16:creationId xmlns:a16="http://schemas.microsoft.com/office/drawing/2014/main" id="{CFE13B02-64B6-47D6-8295-80C04D0A6530}"/>
            </a:ext>
          </a:extLst>
        </xdr:cNvPr>
        <xdr:cNvPicPr>
          <a:picLocks noChangeAspect="1"/>
        </xdr:cNvPicPr>
      </xdr:nvPicPr>
      <xdr:blipFill>
        <a:blip xmlns:r="http://schemas.openxmlformats.org/officeDocument/2006/relationships" r:embed="rId1"/>
        <a:stretch>
          <a:fillRect/>
        </a:stretch>
      </xdr:blipFill>
      <xdr:spPr>
        <a:xfrm>
          <a:off x="257175" y="3124200"/>
          <a:ext cx="5007077" cy="533400"/>
        </a:xfrm>
        <a:prstGeom prst="rect">
          <a:avLst/>
        </a:prstGeom>
      </xdr:spPr>
    </xdr:pic>
    <xdr:clientData/>
  </xdr:twoCellAnchor>
  <xdr:twoCellAnchor editAs="oneCell">
    <xdr:from>
      <xdr:col>1</xdr:col>
      <xdr:colOff>24765</xdr:colOff>
      <xdr:row>5</xdr:row>
      <xdr:rowOff>68580</xdr:rowOff>
    </xdr:from>
    <xdr:to>
      <xdr:col>1</xdr:col>
      <xdr:colOff>5244465</xdr:colOff>
      <xdr:row>5</xdr:row>
      <xdr:rowOff>516181</xdr:rowOff>
    </xdr:to>
    <xdr:pic>
      <xdr:nvPicPr>
        <xdr:cNvPr id="2" name="Picture 1">
          <a:extLst>
            <a:ext uri="{FF2B5EF4-FFF2-40B4-BE49-F238E27FC236}">
              <a16:creationId xmlns:a16="http://schemas.microsoft.com/office/drawing/2014/main" id="{4899DFC8-C050-4292-5EC7-284EF25C5E6F}"/>
            </a:ext>
          </a:extLst>
        </xdr:cNvPr>
        <xdr:cNvPicPr>
          <a:picLocks noChangeAspect="1"/>
        </xdr:cNvPicPr>
      </xdr:nvPicPr>
      <xdr:blipFill rotWithShape="1">
        <a:blip xmlns:r="http://schemas.openxmlformats.org/officeDocument/2006/relationships" r:embed="rId2"/>
        <a:srcRect t="-402" r="20627"/>
        <a:stretch/>
      </xdr:blipFill>
      <xdr:spPr>
        <a:xfrm>
          <a:off x="291465" y="1344930"/>
          <a:ext cx="5219700" cy="447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2</xdr:row>
      <xdr:rowOff>22862</xdr:rowOff>
    </xdr:from>
    <xdr:to>
      <xdr:col>15</xdr:col>
      <xdr:colOff>542925</xdr:colOff>
      <xdr:row>27</xdr:row>
      <xdr:rowOff>125730</xdr:rowOff>
    </xdr:to>
    <xdr:graphicFrame macro="">
      <xdr:nvGraphicFramePr>
        <xdr:cNvPr id="3" name="Chart 2">
          <a:extLst>
            <a:ext uri="{FF2B5EF4-FFF2-40B4-BE49-F238E27FC236}">
              <a16:creationId xmlns:a16="http://schemas.microsoft.com/office/drawing/2014/main" id="{6C46617F-8418-4014-9111-D72FC71EF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11</xdr:row>
      <xdr:rowOff>83820</xdr:rowOff>
    </xdr:from>
    <xdr:to>
      <xdr:col>4</xdr:col>
      <xdr:colOff>123824</xdr:colOff>
      <xdr:row>28</xdr:row>
      <xdr:rowOff>22860</xdr:rowOff>
    </xdr:to>
    <xdr:grpSp>
      <xdr:nvGrpSpPr>
        <xdr:cNvPr id="2" name="Group 1">
          <a:extLst>
            <a:ext uri="{FF2B5EF4-FFF2-40B4-BE49-F238E27FC236}">
              <a16:creationId xmlns:a16="http://schemas.microsoft.com/office/drawing/2014/main" id="{29EE7062-21C5-7635-9C88-014E446A57CE}"/>
            </a:ext>
          </a:extLst>
        </xdr:cNvPr>
        <xdr:cNvGrpSpPr/>
      </xdr:nvGrpSpPr>
      <xdr:grpSpPr>
        <a:xfrm>
          <a:off x="9525" y="2114550"/>
          <a:ext cx="5488304" cy="3009900"/>
          <a:chOff x="168590" y="2045781"/>
          <a:chExt cx="4854626" cy="3067049"/>
        </a:xfrm>
      </xdr:grpSpPr>
      <xdr:graphicFrame macro="">
        <xdr:nvGraphicFramePr>
          <xdr:cNvPr id="6" name="Chart 5">
            <a:extLst>
              <a:ext uri="{FF2B5EF4-FFF2-40B4-BE49-F238E27FC236}">
                <a16:creationId xmlns:a16="http://schemas.microsoft.com/office/drawing/2014/main" id="{8AF08338-3A11-17B8-AE6E-FD47739CAD7C}"/>
              </a:ext>
            </a:extLst>
          </xdr:cNvPr>
          <xdr:cNvGraphicFramePr/>
        </xdr:nvGraphicFramePr>
        <xdr:xfrm>
          <a:off x="168590" y="2045781"/>
          <a:ext cx="4845370" cy="3067049"/>
        </xdr:xfrm>
        <a:graphic>
          <a:graphicData uri="http://schemas.openxmlformats.org/drawingml/2006/chart">
            <c:chart xmlns:c="http://schemas.openxmlformats.org/drawingml/2006/chart" xmlns:r="http://schemas.openxmlformats.org/officeDocument/2006/relationships" r:id="rId2"/>
          </a:graphicData>
        </a:graphic>
      </xdr:graphicFrame>
      <xdr:sp macro="" textlink="$B$2">
        <xdr:nvSpPr>
          <xdr:cNvPr id="7" name="TextBox 1">
            <a:extLst>
              <a:ext uri="{FF2B5EF4-FFF2-40B4-BE49-F238E27FC236}">
                <a16:creationId xmlns:a16="http://schemas.microsoft.com/office/drawing/2014/main" id="{7FF416CA-C117-4C97-B19F-965E17E9A6A2}"/>
              </a:ext>
            </a:extLst>
          </xdr:cNvPr>
          <xdr:cNvSpPr txBox="1"/>
        </xdr:nvSpPr>
        <xdr:spPr>
          <a:xfrm>
            <a:off x="3098712" y="2324432"/>
            <a:ext cx="1924504" cy="2647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fld id="{1756EB48-9CDA-4D97-B046-62EE2EB5DFD2}" type="TxLink">
              <a:rPr lang="en-US" sz="1100" b="1" i="0" u="none" strike="noStrike">
                <a:solidFill>
                  <a:srgbClr val="000000"/>
                </a:solidFill>
                <a:latin typeface="Calibri"/>
                <a:cs typeface="Calibri"/>
              </a:rPr>
              <a:pPr/>
              <a:t>Glass bottle (330 cl)</a:t>
            </a:fld>
            <a:endParaRPr lang="en-GB" sz="1100" b="1"/>
          </a:p>
        </xdr:txBody>
      </xdr:sp>
      <xdr:sp macro="" textlink="">
        <xdr:nvSpPr>
          <xdr:cNvPr id="8" name="TextBox 7">
            <a:extLst>
              <a:ext uri="{FF2B5EF4-FFF2-40B4-BE49-F238E27FC236}">
                <a16:creationId xmlns:a16="http://schemas.microsoft.com/office/drawing/2014/main" id="{265E93C7-92DB-718C-6DDC-EDAFA30A0DEF}"/>
              </a:ext>
            </a:extLst>
          </xdr:cNvPr>
          <xdr:cNvSpPr txBox="1"/>
        </xdr:nvSpPr>
        <xdr:spPr>
          <a:xfrm>
            <a:off x="3076091" y="2465732"/>
            <a:ext cx="562665"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rPr>
              <a:t> total:</a:t>
            </a:r>
            <a:endParaRPr lang="en-GB" sz="1100" b="1">
              <a:solidFill>
                <a:sysClr val="windowText" lastClr="000000"/>
              </a:solidFill>
            </a:endParaRP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0.68169</cdr:x>
      <cdr:y>0.13679</cdr:y>
    </cdr:from>
    <cdr:to>
      <cdr:x>0.82257</cdr:x>
      <cdr:y>0.22569</cdr:y>
    </cdr:to>
    <cdr:sp macro="" textlink="'Results summary'!$B$11">
      <cdr:nvSpPr>
        <cdr:cNvPr id="2" name="TextBox 1">
          <a:extLst xmlns:a="http://schemas.openxmlformats.org/drawingml/2006/main">
            <a:ext uri="{FF2B5EF4-FFF2-40B4-BE49-F238E27FC236}">
              <a16:creationId xmlns:a16="http://schemas.microsoft.com/office/drawing/2014/main" id="{EC7DFBD1-1F1B-A5B8-B48C-A7A4743651D5}"/>
            </a:ext>
          </a:extLst>
        </cdr:cNvPr>
        <cdr:cNvSpPr txBox="1"/>
      </cdr:nvSpPr>
      <cdr:spPr>
        <a:xfrm xmlns:a="http://schemas.openxmlformats.org/drawingml/2006/main">
          <a:off x="3222189" y="434656"/>
          <a:ext cx="665916" cy="2824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27257D6-9911-4CC7-82AD-12F5E180BF67}" type="TxLink">
            <a:rPr lang="en-US" sz="1100" b="1" i="0" u="none" strike="noStrike">
              <a:solidFill>
                <a:srgbClr val="000000"/>
              </a:solidFill>
              <a:latin typeface="Calibri"/>
              <a:cs typeface="Calibri"/>
            </a:rPr>
            <a:pPr/>
            <a:t>1306.49</a:t>
          </a:fld>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6" totalsRowShown="0">
  <autoFilter ref="A1:A6" xr:uid="{00000000-0009-0000-0100-000002000000}"/>
  <tableColumns count="1">
    <tableColumn id="1" xr3:uid="{00000000-0010-0000-0000-000001000000}" name="Hop Locatio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C1:C4" totalsRowShown="0">
  <autoFilter ref="C1:C4" xr:uid="{00000000-0009-0000-0100-000004000000}"/>
  <tableColumns count="1">
    <tableColumn id="1" xr3:uid="{00000000-0010-0000-0100-000001000000}" name="Barley Type"/>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E1:E4" totalsRowShown="0">
  <autoFilter ref="E1:E4" xr:uid="{00000000-0009-0000-0100-000001000000}"/>
  <tableColumns count="1">
    <tableColumn id="1" xr3:uid="{00000000-0010-0000-0200-000001000000}" name="Transport emission factor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heetViews>
  <sheetFormatPr defaultColWidth="0" defaultRowHeight="14.4" zeroHeight="1" x14ac:dyDescent="0.3"/>
  <cols>
    <col min="1" max="1" width="112.5546875" style="44" customWidth="1"/>
    <col min="2" max="16384" width="8.88671875" hidden="1"/>
  </cols>
  <sheetData>
    <row r="1" spans="1:1" ht="18" x14ac:dyDescent="0.35">
      <c r="A1" s="47" t="s">
        <v>465</v>
      </c>
    </row>
    <row r="2" spans="1:1" x14ac:dyDescent="0.3"/>
    <row r="3" spans="1:1" x14ac:dyDescent="0.3">
      <c r="A3" s="45" t="s">
        <v>466</v>
      </c>
    </row>
    <row r="4" spans="1:1" x14ac:dyDescent="0.3">
      <c r="A4" s="25" t="s">
        <v>474</v>
      </c>
    </row>
    <row r="5" spans="1:1" x14ac:dyDescent="0.3">
      <c r="A5" s="45" t="s">
        <v>0</v>
      </c>
    </row>
    <row r="6" spans="1:1" x14ac:dyDescent="0.3">
      <c r="A6" s="45" t="s">
        <v>467</v>
      </c>
    </row>
    <row r="7" spans="1:1" x14ac:dyDescent="0.3"/>
    <row r="8" spans="1:1" ht="16.2" x14ac:dyDescent="0.3">
      <c r="A8" s="46" t="s">
        <v>473</v>
      </c>
    </row>
    <row r="9" spans="1:1" x14ac:dyDescent="0.3"/>
    <row r="10" spans="1:1" ht="16.2" x14ac:dyDescent="0.3">
      <c r="A10" s="44" t="s">
        <v>468</v>
      </c>
    </row>
    <row r="11" spans="1:1" ht="16.2" x14ac:dyDescent="0.3">
      <c r="A11" s="44" t="s">
        <v>471</v>
      </c>
    </row>
    <row r="12" spans="1:1" ht="16.2" x14ac:dyDescent="0.3">
      <c r="A12" s="44" t="s">
        <v>469</v>
      </c>
    </row>
    <row r="13" spans="1:1" ht="16.2" x14ac:dyDescent="0.3">
      <c r="A13" s="44" t="s">
        <v>1</v>
      </c>
    </row>
    <row r="14" spans="1:1" x14ac:dyDescent="0.3">
      <c r="A14" s="44" t="s">
        <v>2</v>
      </c>
    </row>
    <row r="15" spans="1:1" x14ac:dyDescent="0.3"/>
    <row r="16" spans="1:1" x14ac:dyDescent="0.3">
      <c r="A16" s="44" t="s">
        <v>470</v>
      </c>
    </row>
    <row r="17"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30"/>
  <sheetViews>
    <sheetView workbookViewId="0"/>
  </sheetViews>
  <sheetFormatPr defaultColWidth="0" defaultRowHeight="14.4" zeroHeight="1" x14ac:dyDescent="0.3"/>
  <cols>
    <col min="1" max="1" width="3.88671875" style="9" customWidth="1"/>
    <col min="2" max="2" width="80.33203125" style="9" customWidth="1"/>
    <col min="3" max="16383" width="8.88671875" style="9" hidden="1"/>
    <col min="16384" max="16384" width="1.109375" style="9" hidden="1" customWidth="1"/>
  </cols>
  <sheetData>
    <row r="1" spans="2:2" x14ac:dyDescent="0.3">
      <c r="B1" s="12" t="s">
        <v>3</v>
      </c>
    </row>
    <row r="2" spans="2:2" x14ac:dyDescent="0.3">
      <c r="B2" s="9" t="s">
        <v>4</v>
      </c>
    </row>
    <row r="3" spans="2:2" x14ac:dyDescent="0.3">
      <c r="B3" s="10" t="s">
        <v>5</v>
      </c>
    </row>
    <row r="4" spans="2:2" ht="43.2" x14ac:dyDescent="0.3">
      <c r="B4" s="34" t="s">
        <v>6</v>
      </c>
    </row>
    <row r="5" spans="2:2" x14ac:dyDescent="0.3">
      <c r="B5" s="34" t="s">
        <v>472</v>
      </c>
    </row>
    <row r="6" spans="2:2" ht="46.5" customHeight="1" x14ac:dyDescent="0.3">
      <c r="B6" s="11"/>
    </row>
    <row r="7" spans="2:2" x14ac:dyDescent="0.3">
      <c r="B7" s="12" t="s">
        <v>7</v>
      </c>
    </row>
    <row r="8" spans="2:2" x14ac:dyDescent="0.3">
      <c r="B8" s="34" t="s">
        <v>8</v>
      </c>
    </row>
    <row r="9" spans="2:2" x14ac:dyDescent="0.3">
      <c r="B9" s="10" t="s">
        <v>9</v>
      </c>
    </row>
    <row r="10" spans="2:2" x14ac:dyDescent="0.3">
      <c r="B10" s="9" t="s">
        <v>10</v>
      </c>
    </row>
    <row r="11" spans="2:2" ht="34.200000000000003" customHeight="1" x14ac:dyDescent="0.3"/>
    <row r="12" spans="2:2" x14ac:dyDescent="0.3"/>
    <row r="13" spans="2:2" x14ac:dyDescent="0.3">
      <c r="B13" s="12" t="s">
        <v>11</v>
      </c>
    </row>
    <row r="14" spans="2:2" ht="28.8" x14ac:dyDescent="0.3">
      <c r="B14" s="11" t="s">
        <v>12</v>
      </c>
    </row>
    <row r="15" spans="2:2" x14ac:dyDescent="0.3">
      <c r="B15" s="10" t="s">
        <v>13</v>
      </c>
    </row>
    <row r="16" spans="2:2" x14ac:dyDescent="0.3"/>
    <row r="17" spans="2:2" x14ac:dyDescent="0.3">
      <c r="B17" s="12" t="s">
        <v>14</v>
      </c>
    </row>
    <row r="18" spans="2:2" ht="43.2" x14ac:dyDescent="0.3">
      <c r="B18" s="11" t="s">
        <v>15</v>
      </c>
    </row>
    <row r="19" spans="2:2" x14ac:dyDescent="0.3">
      <c r="B19" s="10" t="s">
        <v>14</v>
      </c>
    </row>
    <row r="20" spans="2:2" x14ac:dyDescent="0.3"/>
    <row r="21" spans="2:2" x14ac:dyDescent="0.3">
      <c r="B21" s="12" t="s">
        <v>16</v>
      </c>
    </row>
    <row r="22" spans="2:2" ht="43.2" x14ac:dyDescent="0.3">
      <c r="B22" s="11" t="s">
        <v>17</v>
      </c>
    </row>
    <row r="23" spans="2:2" x14ac:dyDescent="0.3">
      <c r="B23" s="10" t="s">
        <v>16</v>
      </c>
    </row>
    <row r="24" spans="2:2" x14ac:dyDescent="0.3"/>
    <row r="25" spans="2:2" x14ac:dyDescent="0.3">
      <c r="B25" s="12"/>
    </row>
    <row r="26" spans="2:2" x14ac:dyDescent="0.3"/>
    <row r="27" spans="2:2" x14ac:dyDescent="0.3">
      <c r="B27" s="10"/>
    </row>
    <row r="28" spans="2:2" x14ac:dyDescent="0.3"/>
    <row r="29" spans="2:2" x14ac:dyDescent="0.3"/>
    <row r="30" spans="2:2" x14ac:dyDescent="0.3"/>
  </sheetData>
  <hyperlinks>
    <hyperlink ref="B9" location="'Data and assumptions'!A1" display="Data and assumptions tab" xr:uid="{00000000-0004-0000-0100-000000000000}"/>
    <hyperlink ref="B15" location="Calculations!A1" display="Calculations tab" xr:uid="{00000000-0004-0000-0100-000001000000}"/>
    <hyperlink ref="B19" location="'Results breakdown'!A1" display="Results breakdown" xr:uid="{00000000-0004-0000-0100-000002000000}"/>
    <hyperlink ref="B23" location="'Results summary'!A1" display="Results summary" xr:uid="{00000000-0004-0000-0100-000003000000}"/>
    <hyperlink ref="B3" location="'User inputs'!A1" display="User inputs tab" xr:uid="{00000000-0004-0000-0100-000004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workbookViewId="0"/>
  </sheetViews>
  <sheetFormatPr defaultRowHeight="14.4" x14ac:dyDescent="0.3"/>
  <cols>
    <col min="1" max="1" width="48.5546875" customWidth="1"/>
    <col min="2" max="2" width="20.5546875" customWidth="1"/>
    <col min="3" max="3" width="46.33203125" bestFit="1" customWidth="1"/>
    <col min="4" max="4" width="16.88671875" style="28" bestFit="1" customWidth="1"/>
    <col min="5" max="5" width="26.88671875" customWidth="1"/>
    <col min="6" max="6" width="36.109375" customWidth="1"/>
    <col min="7" max="7" width="18.6640625" customWidth="1"/>
  </cols>
  <sheetData>
    <row r="1" spans="1:13" x14ac:dyDescent="0.3">
      <c r="A1" s="1" t="s">
        <v>18</v>
      </c>
      <c r="D1" s="27" t="s">
        <v>19</v>
      </c>
    </row>
    <row r="2" spans="1:13" x14ac:dyDescent="0.3">
      <c r="A2" t="s">
        <v>20</v>
      </c>
      <c r="B2" s="8">
        <v>0.184</v>
      </c>
      <c r="C2" t="s">
        <v>21</v>
      </c>
      <c r="D2" s="27">
        <v>0.184</v>
      </c>
    </row>
    <row r="3" spans="1:13" ht="15" customHeight="1" x14ac:dyDescent="0.3">
      <c r="A3" t="s">
        <v>22</v>
      </c>
      <c r="B3" s="8" t="s">
        <v>23</v>
      </c>
      <c r="C3" s="4" t="s">
        <v>25</v>
      </c>
      <c r="D3" s="27" t="s">
        <v>23</v>
      </c>
    </row>
    <row r="4" spans="1:13" x14ac:dyDescent="0.3">
      <c r="C4" t="s">
        <v>26</v>
      </c>
    </row>
    <row r="5" spans="1:13" x14ac:dyDescent="0.3">
      <c r="A5" s="1" t="s">
        <v>27</v>
      </c>
    </row>
    <row r="6" spans="1:13" x14ac:dyDescent="0.3">
      <c r="A6" t="s">
        <v>28</v>
      </c>
      <c r="B6" s="8">
        <v>2.1800000000000002</v>
      </c>
      <c r="C6" t="s">
        <v>29</v>
      </c>
      <c r="D6" s="27">
        <v>2.1800000000000002</v>
      </c>
      <c r="G6" s="21"/>
      <c r="I6" s="2"/>
      <c r="J6" s="2"/>
      <c r="L6" s="2"/>
      <c r="M6" s="2"/>
    </row>
    <row r="7" spans="1:13" ht="15" customHeight="1" x14ac:dyDescent="0.3">
      <c r="A7" t="s">
        <v>30</v>
      </c>
      <c r="B7" s="8" t="s">
        <v>31</v>
      </c>
      <c r="C7" s="4" t="s">
        <v>25</v>
      </c>
      <c r="D7" s="27" t="s">
        <v>31</v>
      </c>
      <c r="G7" s="21"/>
      <c r="I7" s="2"/>
      <c r="J7" s="2"/>
      <c r="L7" s="2"/>
      <c r="M7" s="2"/>
    </row>
    <row r="8" spans="1:13" x14ac:dyDescent="0.3">
      <c r="B8" s="6"/>
      <c r="G8" s="21"/>
      <c r="I8" s="2"/>
      <c r="J8" s="2"/>
      <c r="L8" s="2"/>
      <c r="M8" s="2"/>
    </row>
    <row r="9" spans="1:13" x14ac:dyDescent="0.3">
      <c r="A9" s="1" t="s">
        <v>32</v>
      </c>
      <c r="G9" s="21"/>
      <c r="I9" s="2"/>
      <c r="L9" s="2"/>
      <c r="M9" s="2"/>
    </row>
    <row r="10" spans="1:13" x14ac:dyDescent="0.3">
      <c r="A10" t="s">
        <v>33</v>
      </c>
      <c r="B10" s="8">
        <v>0.19700000000000001</v>
      </c>
      <c r="C10" t="s">
        <v>34</v>
      </c>
      <c r="D10" s="26">
        <v>0.19700000000000001</v>
      </c>
      <c r="G10" s="21"/>
      <c r="I10" s="2"/>
      <c r="L10" s="2"/>
      <c r="M10" s="2"/>
    </row>
    <row r="11" spans="1:13" x14ac:dyDescent="0.3">
      <c r="A11" t="s">
        <v>35</v>
      </c>
      <c r="B11" s="8">
        <v>0.47</v>
      </c>
      <c r="C11" t="s">
        <v>34</v>
      </c>
      <c r="D11" s="26">
        <v>0.47</v>
      </c>
      <c r="G11" s="21"/>
      <c r="I11" s="2"/>
      <c r="L11" s="2"/>
      <c r="M11" s="2"/>
    </row>
    <row r="12" spans="1:13" x14ac:dyDescent="0.3">
      <c r="A12" t="s">
        <v>36</v>
      </c>
      <c r="B12" s="8">
        <v>5.92</v>
      </c>
      <c r="C12" t="s">
        <v>37</v>
      </c>
      <c r="D12" s="26">
        <v>1.63</v>
      </c>
      <c r="G12" s="21"/>
      <c r="I12" s="21"/>
      <c r="J12" s="21"/>
    </row>
    <row r="13" spans="1:13" x14ac:dyDescent="0.3">
      <c r="A13" t="s">
        <v>38</v>
      </c>
      <c r="B13" s="8">
        <v>4.29</v>
      </c>
      <c r="C13" t="s">
        <v>37</v>
      </c>
      <c r="D13" s="26">
        <v>4.29</v>
      </c>
      <c r="G13" s="21"/>
      <c r="I13" s="21"/>
    </row>
    <row r="14" spans="1:13" x14ac:dyDescent="0.3">
      <c r="A14" t="s">
        <v>39</v>
      </c>
      <c r="B14" s="8">
        <v>4.5</v>
      </c>
      <c r="C14" t="s">
        <v>29</v>
      </c>
      <c r="D14" s="26">
        <v>4.5</v>
      </c>
      <c r="G14" s="21"/>
      <c r="I14" s="2"/>
      <c r="K14" s="2"/>
    </row>
    <row r="15" spans="1:13" x14ac:dyDescent="0.3">
      <c r="A15" t="s">
        <v>40</v>
      </c>
      <c r="B15" s="8">
        <v>1.75</v>
      </c>
      <c r="C15" t="s">
        <v>29</v>
      </c>
      <c r="D15" s="26">
        <v>1.75</v>
      </c>
      <c r="G15" s="21"/>
      <c r="I15" s="2"/>
    </row>
    <row r="16" spans="1:13" x14ac:dyDescent="0.3">
      <c r="A16" t="s">
        <v>41</v>
      </c>
      <c r="B16" s="8">
        <v>1.7</v>
      </c>
      <c r="C16" t="s">
        <v>29</v>
      </c>
      <c r="D16" s="26">
        <v>1.7</v>
      </c>
      <c r="G16" s="21"/>
      <c r="I16" s="2"/>
    </row>
    <row r="17" spans="1:9" x14ac:dyDescent="0.3">
      <c r="A17" t="s">
        <v>42</v>
      </c>
      <c r="B17" s="8">
        <v>0.55000000000000004</v>
      </c>
      <c r="C17" t="s">
        <v>29</v>
      </c>
      <c r="D17" s="26">
        <v>0.55000000000000004</v>
      </c>
      <c r="G17" s="21"/>
      <c r="I17" s="2"/>
    </row>
    <row r="18" spans="1:9" x14ac:dyDescent="0.3">
      <c r="A18" t="s">
        <v>43</v>
      </c>
      <c r="B18" s="8">
        <v>25.6</v>
      </c>
      <c r="C18" t="s">
        <v>29</v>
      </c>
      <c r="D18" s="26">
        <v>25.6</v>
      </c>
      <c r="G18" s="21"/>
      <c r="I18" s="2"/>
    </row>
    <row r="19" spans="1:9" x14ac:dyDescent="0.3">
      <c r="A19" t="s">
        <v>44</v>
      </c>
      <c r="B19" s="8">
        <v>0.5</v>
      </c>
      <c r="C19" t="s">
        <v>45</v>
      </c>
      <c r="D19" s="26">
        <v>0.5</v>
      </c>
      <c r="G19" s="21"/>
      <c r="I19" s="2"/>
    </row>
    <row r="20" spans="1:9" x14ac:dyDescent="0.3">
      <c r="A20" t="s">
        <v>46</v>
      </c>
      <c r="B20" s="8">
        <v>0.5</v>
      </c>
      <c r="C20" t="s">
        <v>45</v>
      </c>
      <c r="D20" s="26">
        <v>0.5</v>
      </c>
      <c r="G20" s="21"/>
      <c r="I20" s="2"/>
    </row>
    <row r="21" spans="1:9" x14ac:dyDescent="0.3">
      <c r="A21" t="s">
        <v>47</v>
      </c>
      <c r="B21" s="8">
        <v>0</v>
      </c>
      <c r="C21" t="s">
        <v>29</v>
      </c>
      <c r="D21" s="26">
        <v>0</v>
      </c>
      <c r="G21" s="21"/>
      <c r="I21" s="2"/>
    </row>
    <row r="22" spans="1:9" x14ac:dyDescent="0.3">
      <c r="A22" t="s">
        <v>48</v>
      </c>
      <c r="B22" s="8">
        <v>0</v>
      </c>
      <c r="C22" t="s">
        <v>29</v>
      </c>
      <c r="D22" s="26">
        <v>0</v>
      </c>
      <c r="G22" s="21"/>
      <c r="I22" s="2"/>
    </row>
    <row r="23" spans="1:9" x14ac:dyDescent="0.3">
      <c r="A23" t="s">
        <v>49</v>
      </c>
      <c r="B23" s="8">
        <v>0</v>
      </c>
      <c r="C23" t="s">
        <v>29</v>
      </c>
      <c r="D23" s="26">
        <v>0</v>
      </c>
      <c r="G23" s="21"/>
      <c r="I23" s="2"/>
    </row>
    <row r="24" spans="1:9" x14ac:dyDescent="0.3">
      <c r="A24" t="s">
        <v>50</v>
      </c>
      <c r="B24" s="8">
        <v>0</v>
      </c>
      <c r="C24" t="s">
        <v>29</v>
      </c>
      <c r="D24" s="26">
        <v>0</v>
      </c>
      <c r="G24" s="21"/>
      <c r="I24" s="2"/>
    </row>
    <row r="25" spans="1:9" x14ac:dyDescent="0.3">
      <c r="A25" t="s">
        <v>51</v>
      </c>
      <c r="B25" s="8">
        <v>0</v>
      </c>
      <c r="C25" t="s">
        <v>29</v>
      </c>
      <c r="D25" s="26">
        <v>0</v>
      </c>
      <c r="G25" s="21"/>
      <c r="I25" s="2"/>
    </row>
    <row r="26" spans="1:9" x14ac:dyDescent="0.3">
      <c r="A26" t="s">
        <v>52</v>
      </c>
      <c r="B26" s="8">
        <v>0</v>
      </c>
      <c r="C26" t="s">
        <v>29</v>
      </c>
      <c r="D26" s="26">
        <v>0</v>
      </c>
      <c r="G26" s="21"/>
      <c r="I26" s="2"/>
    </row>
    <row r="27" spans="1:9" x14ac:dyDescent="0.3">
      <c r="A27" t="s">
        <v>53</v>
      </c>
      <c r="B27" s="8">
        <v>0</v>
      </c>
      <c r="C27" t="s">
        <v>29</v>
      </c>
      <c r="D27" s="26">
        <v>0</v>
      </c>
      <c r="G27" s="21"/>
      <c r="I27" s="2"/>
    </row>
    <row r="28" spans="1:9" x14ac:dyDescent="0.3">
      <c r="D28" s="26"/>
      <c r="G28" s="21"/>
      <c r="I28" s="2"/>
    </row>
    <row r="29" spans="1:9" x14ac:dyDescent="0.3">
      <c r="A29" s="35" t="s">
        <v>54</v>
      </c>
      <c r="B29" s="36">
        <v>2.5999999999999999E-3</v>
      </c>
      <c r="C29" s="37" t="s">
        <v>55</v>
      </c>
      <c r="D29" s="38">
        <v>2.5999999999999999E-3</v>
      </c>
      <c r="E29" s="37"/>
      <c r="F29" s="48" t="s">
        <v>56</v>
      </c>
      <c r="G29" s="49"/>
      <c r="I29" s="2"/>
    </row>
    <row r="30" spans="1:9" x14ac:dyDescent="0.3">
      <c r="A30" s="39" t="s">
        <v>57</v>
      </c>
      <c r="B30" s="8">
        <v>3.5000000000000003E-2</v>
      </c>
      <c r="C30" t="s">
        <v>58</v>
      </c>
      <c r="D30" s="26">
        <v>3.5000000000000003E-2</v>
      </c>
      <c r="F30" s="50"/>
      <c r="G30" s="51"/>
      <c r="I30" s="2"/>
    </row>
    <row r="31" spans="1:9" x14ac:dyDescent="0.3">
      <c r="A31" s="39" t="s">
        <v>59</v>
      </c>
      <c r="B31" s="8">
        <v>1.1900000000000001E-2</v>
      </c>
      <c r="C31" t="s">
        <v>58</v>
      </c>
      <c r="D31" s="26">
        <v>1.1900000000000001E-2</v>
      </c>
      <c r="F31" s="50"/>
      <c r="G31" s="51"/>
      <c r="I31" s="2"/>
    </row>
    <row r="32" spans="1:9" x14ac:dyDescent="0.3">
      <c r="A32" s="39" t="s">
        <v>60</v>
      </c>
      <c r="B32" s="8">
        <v>0.1244</v>
      </c>
      <c r="C32" t="s">
        <v>58</v>
      </c>
      <c r="D32" s="26">
        <v>0.1244</v>
      </c>
      <c r="F32" s="50"/>
      <c r="G32" s="51"/>
      <c r="I32" s="2"/>
    </row>
    <row r="33" spans="1:10" x14ac:dyDescent="0.3">
      <c r="A33" s="39" t="s">
        <v>61</v>
      </c>
      <c r="B33" s="8">
        <v>7.2999999999999995E-2</v>
      </c>
      <c r="C33" t="s">
        <v>55</v>
      </c>
      <c r="D33" s="26">
        <v>7.2999999999999995E-2</v>
      </c>
      <c r="F33" s="50"/>
      <c r="G33" s="51"/>
      <c r="I33" s="2"/>
      <c r="J33" s="21"/>
    </row>
    <row r="34" spans="1:10" x14ac:dyDescent="0.3">
      <c r="A34" s="39" t="s">
        <v>62</v>
      </c>
      <c r="B34" s="8">
        <v>2.0799999999999999E-2</v>
      </c>
      <c r="C34" t="s">
        <v>55</v>
      </c>
      <c r="D34" s="26">
        <v>2.0799999999999999E-2</v>
      </c>
      <c r="F34" s="50"/>
      <c r="G34" s="51"/>
    </row>
    <row r="35" spans="1:10" x14ac:dyDescent="0.3">
      <c r="A35" s="39" t="s">
        <v>63</v>
      </c>
      <c r="B35" s="8">
        <v>2E-3</v>
      </c>
      <c r="C35" t="s">
        <v>55</v>
      </c>
      <c r="D35" s="26">
        <v>2E-3</v>
      </c>
      <c r="F35" s="50"/>
      <c r="G35" s="51"/>
    </row>
    <row r="36" spans="1:10" x14ac:dyDescent="0.3">
      <c r="A36" s="39" t="s">
        <v>64</v>
      </c>
      <c r="B36" s="8">
        <v>5.0000000000000001E-4</v>
      </c>
      <c r="C36" t="s">
        <v>55</v>
      </c>
      <c r="D36" s="26">
        <v>5.0000000000000001E-4</v>
      </c>
      <c r="F36" s="50"/>
      <c r="G36" s="51"/>
    </row>
    <row r="37" spans="1:10" x14ac:dyDescent="0.3">
      <c r="A37" s="39" t="s">
        <v>65</v>
      </c>
      <c r="B37" s="8">
        <v>1.2500000000000001E-2</v>
      </c>
      <c r="C37" t="s">
        <v>58</v>
      </c>
      <c r="D37" s="26">
        <v>1.2500000000000001E-2</v>
      </c>
      <c r="F37" s="50"/>
      <c r="G37" s="51"/>
    </row>
    <row r="38" spans="1:10" x14ac:dyDescent="0.3">
      <c r="A38" s="39" t="s">
        <v>66</v>
      </c>
      <c r="B38" s="8">
        <v>3.9E-2</v>
      </c>
      <c r="C38" t="s">
        <v>55</v>
      </c>
      <c r="D38" s="26">
        <v>3.9E-2</v>
      </c>
      <c r="F38" s="50"/>
      <c r="G38" s="51"/>
    </row>
    <row r="39" spans="1:10" x14ac:dyDescent="0.3">
      <c r="A39" s="39" t="s">
        <v>67</v>
      </c>
      <c r="B39" s="8">
        <v>8.4000000000000005E-2</v>
      </c>
      <c r="C39" t="s">
        <v>58</v>
      </c>
      <c r="D39" s="26">
        <v>8.4000000000000005E-2</v>
      </c>
      <c r="F39" s="50"/>
      <c r="G39" s="51"/>
    </row>
    <row r="40" spans="1:10" x14ac:dyDescent="0.3">
      <c r="A40" s="39" t="s">
        <v>68</v>
      </c>
      <c r="B40" s="8">
        <v>1.6E-2</v>
      </c>
      <c r="C40" t="s">
        <v>55</v>
      </c>
      <c r="D40" s="26">
        <v>1.6E-2</v>
      </c>
      <c r="F40" s="50"/>
      <c r="G40" s="51"/>
    </row>
    <row r="41" spans="1:10" x14ac:dyDescent="0.3">
      <c r="A41" s="39" t="s">
        <v>69</v>
      </c>
      <c r="B41" s="8">
        <v>1.77E-2</v>
      </c>
      <c r="C41" t="s">
        <v>55</v>
      </c>
      <c r="D41" s="26">
        <v>1.77E-2</v>
      </c>
      <c r="F41" s="50"/>
      <c r="G41" s="51"/>
    </row>
    <row r="42" spans="1:10" x14ac:dyDescent="0.3">
      <c r="A42" s="39" t="s">
        <v>70</v>
      </c>
      <c r="B42" s="8">
        <v>1.38E-2</v>
      </c>
      <c r="C42" t="s">
        <v>55</v>
      </c>
      <c r="D42" s="26">
        <v>1.38E-2</v>
      </c>
      <c r="F42" s="50"/>
      <c r="G42" s="51"/>
    </row>
    <row r="43" spans="1:10" x14ac:dyDescent="0.3">
      <c r="A43" s="40" t="s">
        <v>71</v>
      </c>
      <c r="B43" s="41">
        <v>1.18E-2</v>
      </c>
      <c r="C43" s="42" t="s">
        <v>55</v>
      </c>
      <c r="D43" s="43">
        <v>1.18E-2</v>
      </c>
      <c r="E43" s="42"/>
      <c r="F43" s="52"/>
      <c r="G43" s="53"/>
    </row>
    <row r="45" spans="1:10" x14ac:dyDescent="0.3">
      <c r="A45" s="1" t="s">
        <v>72</v>
      </c>
    </row>
    <row r="46" spans="1:10" x14ac:dyDescent="0.3">
      <c r="A46" t="s">
        <v>73</v>
      </c>
      <c r="B46" s="8">
        <v>220</v>
      </c>
      <c r="C46" t="s">
        <v>74</v>
      </c>
      <c r="D46" s="26">
        <v>220</v>
      </c>
    </row>
    <row r="47" spans="1:10" ht="15" customHeight="1" x14ac:dyDescent="0.3">
      <c r="A47" t="s">
        <v>75</v>
      </c>
      <c r="B47" s="8" t="s">
        <v>76</v>
      </c>
      <c r="C47" s="4" t="s">
        <v>25</v>
      </c>
      <c r="D47" s="26" t="s">
        <v>76</v>
      </c>
      <c r="E47" s="26"/>
    </row>
    <row r="48" spans="1:10" ht="15" customHeight="1" x14ac:dyDescent="0.3">
      <c r="A48" t="s">
        <v>77</v>
      </c>
      <c r="B48" s="29" t="s">
        <v>78</v>
      </c>
      <c r="C48" s="29"/>
      <c r="D48" s="26"/>
      <c r="E48" s="26"/>
    </row>
    <row r="49" spans="1:5" ht="15" customHeight="1" x14ac:dyDescent="0.3">
      <c r="A49" t="s">
        <v>79</v>
      </c>
      <c r="B49" s="8" t="s">
        <v>76</v>
      </c>
      <c r="C49" s="4" t="s">
        <v>25</v>
      </c>
      <c r="D49" s="26" t="s">
        <v>76</v>
      </c>
      <c r="E49" s="26"/>
    </row>
    <row r="50" spans="1:5" x14ac:dyDescent="0.3">
      <c r="A50" t="s">
        <v>80</v>
      </c>
      <c r="B50" s="8">
        <v>200</v>
      </c>
      <c r="C50" t="s">
        <v>74</v>
      </c>
      <c r="D50" s="26">
        <v>200</v>
      </c>
    </row>
    <row r="51" spans="1:5" ht="15" customHeight="1" x14ac:dyDescent="0.3">
      <c r="A51" t="s">
        <v>81</v>
      </c>
      <c r="B51" s="8" t="s">
        <v>76</v>
      </c>
      <c r="C51" s="4" t="s">
        <v>25</v>
      </c>
      <c r="D51" s="26" t="s">
        <v>76</v>
      </c>
      <c r="E51" s="26"/>
    </row>
    <row r="52" spans="1:5" x14ac:dyDescent="0.3">
      <c r="A52" t="s">
        <v>82</v>
      </c>
      <c r="B52" s="8">
        <v>200</v>
      </c>
      <c r="C52" t="s">
        <v>74</v>
      </c>
      <c r="D52" s="26">
        <v>200</v>
      </c>
    </row>
    <row r="53" spans="1:5" ht="15" customHeight="1" x14ac:dyDescent="0.3">
      <c r="A53" t="s">
        <v>83</v>
      </c>
      <c r="B53" s="8" t="s">
        <v>76</v>
      </c>
      <c r="C53" s="4" t="s">
        <v>25</v>
      </c>
      <c r="D53" s="26" t="s">
        <v>76</v>
      </c>
      <c r="E53" s="26"/>
    </row>
    <row r="54" spans="1:5" x14ac:dyDescent="0.3">
      <c r="A54" t="s">
        <v>84</v>
      </c>
      <c r="B54" s="8">
        <v>200</v>
      </c>
      <c r="C54" t="s">
        <v>74</v>
      </c>
      <c r="D54" s="26">
        <v>200</v>
      </c>
    </row>
    <row r="55" spans="1:5" ht="15" customHeight="1" x14ac:dyDescent="0.3">
      <c r="A55" t="s">
        <v>85</v>
      </c>
      <c r="B55" s="8" t="s">
        <v>76</v>
      </c>
      <c r="C55" s="4" t="s">
        <v>25</v>
      </c>
      <c r="D55" s="26" t="s">
        <v>76</v>
      </c>
      <c r="E55" s="26"/>
    </row>
    <row r="56" spans="1:5" x14ac:dyDescent="0.3">
      <c r="A56" t="s">
        <v>86</v>
      </c>
      <c r="B56" s="8">
        <v>200</v>
      </c>
      <c r="C56" t="s">
        <v>74</v>
      </c>
      <c r="D56" s="26">
        <v>200</v>
      </c>
    </row>
    <row r="57" spans="1:5" ht="15" customHeight="1" x14ac:dyDescent="0.3">
      <c r="A57" t="s">
        <v>87</v>
      </c>
      <c r="B57" s="8" t="s">
        <v>76</v>
      </c>
      <c r="C57" s="4" t="s">
        <v>25</v>
      </c>
      <c r="D57" s="26" t="s">
        <v>76</v>
      </c>
      <c r="E57" s="26"/>
    </row>
    <row r="58" spans="1:5" x14ac:dyDescent="0.3">
      <c r="A58" t="s">
        <v>88</v>
      </c>
      <c r="B58" s="8">
        <v>200</v>
      </c>
      <c r="C58" t="s">
        <v>74</v>
      </c>
      <c r="D58" s="26">
        <v>200</v>
      </c>
    </row>
    <row r="59" spans="1:5" ht="15" customHeight="1" x14ac:dyDescent="0.3">
      <c r="A59" t="s">
        <v>89</v>
      </c>
      <c r="B59" s="8" t="s">
        <v>76</v>
      </c>
      <c r="C59" s="4" t="s">
        <v>25</v>
      </c>
      <c r="D59" s="26" t="s">
        <v>76</v>
      </c>
      <c r="E59" s="26"/>
    </row>
    <row r="60" spans="1:5" x14ac:dyDescent="0.3">
      <c r="A60" t="s">
        <v>90</v>
      </c>
      <c r="B60" s="8">
        <v>200</v>
      </c>
      <c r="C60" t="s">
        <v>74</v>
      </c>
      <c r="D60" s="26">
        <v>200</v>
      </c>
    </row>
    <row r="61" spans="1:5" ht="15" customHeight="1" x14ac:dyDescent="0.3">
      <c r="A61" t="s">
        <v>91</v>
      </c>
      <c r="B61" s="8" t="s">
        <v>76</v>
      </c>
      <c r="C61" s="4" t="s">
        <v>25</v>
      </c>
      <c r="D61" s="26" t="s">
        <v>76</v>
      </c>
      <c r="E61" s="26"/>
    </row>
    <row r="62" spans="1:5" x14ac:dyDescent="0.3">
      <c r="A62" t="s">
        <v>92</v>
      </c>
      <c r="B62" s="8">
        <v>200</v>
      </c>
      <c r="C62" t="s">
        <v>74</v>
      </c>
      <c r="D62" s="26">
        <v>200</v>
      </c>
    </row>
    <row r="63" spans="1:5" ht="15" customHeight="1" x14ac:dyDescent="0.3">
      <c r="A63" t="s">
        <v>93</v>
      </c>
      <c r="B63" s="8" t="s">
        <v>76</v>
      </c>
      <c r="C63" s="4" t="s">
        <v>25</v>
      </c>
      <c r="D63" s="26" t="s">
        <v>76</v>
      </c>
      <c r="E63" s="26"/>
    </row>
    <row r="64" spans="1:5" x14ac:dyDescent="0.3">
      <c r="A64" t="s">
        <v>94</v>
      </c>
      <c r="B64" s="8">
        <v>200</v>
      </c>
      <c r="C64" t="s">
        <v>74</v>
      </c>
      <c r="D64" s="26">
        <v>200</v>
      </c>
    </row>
    <row r="65" spans="1:5" ht="15" customHeight="1" x14ac:dyDescent="0.3">
      <c r="A65" t="s">
        <v>95</v>
      </c>
      <c r="B65" s="8" t="s">
        <v>76</v>
      </c>
      <c r="C65" s="4" t="s">
        <v>25</v>
      </c>
      <c r="D65" s="26" t="s">
        <v>76</v>
      </c>
      <c r="E65" s="26"/>
    </row>
    <row r="66" spans="1:5" x14ac:dyDescent="0.3">
      <c r="A66" t="s">
        <v>96</v>
      </c>
      <c r="B66" s="8">
        <v>200</v>
      </c>
      <c r="C66" t="s">
        <v>74</v>
      </c>
      <c r="D66" s="26">
        <v>200</v>
      </c>
    </row>
    <row r="67" spans="1:5" ht="15" customHeight="1" x14ac:dyDescent="0.3">
      <c r="A67" t="s">
        <v>97</v>
      </c>
      <c r="B67" s="8" t="s">
        <v>76</v>
      </c>
      <c r="C67" s="4" t="s">
        <v>25</v>
      </c>
      <c r="D67" s="26" t="s">
        <v>76</v>
      </c>
      <c r="E67" s="26"/>
    </row>
    <row r="68" spans="1:5" x14ac:dyDescent="0.3">
      <c r="A68" t="s">
        <v>98</v>
      </c>
      <c r="B68" s="8">
        <v>200</v>
      </c>
      <c r="C68" t="s">
        <v>74</v>
      </c>
      <c r="D68" s="26">
        <v>200</v>
      </c>
    </row>
    <row r="69" spans="1:5" ht="15" customHeight="1" x14ac:dyDescent="0.3">
      <c r="A69" t="s">
        <v>99</v>
      </c>
      <c r="B69" s="8" t="s">
        <v>76</v>
      </c>
      <c r="C69" s="4" t="s">
        <v>25</v>
      </c>
      <c r="D69" s="26" t="s">
        <v>76</v>
      </c>
      <c r="E69" s="26"/>
    </row>
    <row r="70" spans="1:5" x14ac:dyDescent="0.3">
      <c r="A70" t="s">
        <v>100</v>
      </c>
      <c r="B70" s="8">
        <v>200</v>
      </c>
      <c r="C70" t="s">
        <v>74</v>
      </c>
      <c r="D70" s="26">
        <v>200</v>
      </c>
    </row>
    <row r="71" spans="1:5" ht="15" customHeight="1" x14ac:dyDescent="0.3">
      <c r="A71" t="s">
        <v>101</v>
      </c>
      <c r="B71" s="8" t="s">
        <v>76</v>
      </c>
      <c r="C71" s="4" t="s">
        <v>25</v>
      </c>
      <c r="D71" s="26" t="s">
        <v>76</v>
      </c>
      <c r="E71" s="26"/>
    </row>
    <row r="72" spans="1:5" x14ac:dyDescent="0.3">
      <c r="A72" t="s">
        <v>102</v>
      </c>
      <c r="B72" s="8">
        <v>200</v>
      </c>
      <c r="C72" t="s">
        <v>74</v>
      </c>
      <c r="D72" s="26">
        <v>200</v>
      </c>
    </row>
    <row r="73" spans="1:5" ht="15" customHeight="1" x14ac:dyDescent="0.3">
      <c r="A73" t="s">
        <v>103</v>
      </c>
      <c r="B73" s="8" t="s">
        <v>76</v>
      </c>
      <c r="C73" s="4" t="s">
        <v>25</v>
      </c>
      <c r="D73" s="26" t="s">
        <v>76</v>
      </c>
      <c r="E73" s="26"/>
    </row>
    <row r="74" spans="1:5" x14ac:dyDescent="0.3">
      <c r="A74" t="s">
        <v>104</v>
      </c>
      <c r="B74" s="8">
        <v>200</v>
      </c>
      <c r="C74" t="s">
        <v>74</v>
      </c>
      <c r="D74" s="26">
        <v>200</v>
      </c>
    </row>
    <row r="75" spans="1:5" ht="15" customHeight="1" x14ac:dyDescent="0.3">
      <c r="A75" t="s">
        <v>105</v>
      </c>
      <c r="B75" s="8" t="s">
        <v>76</v>
      </c>
      <c r="C75" s="4" t="s">
        <v>25</v>
      </c>
      <c r="D75" s="26" t="s">
        <v>76</v>
      </c>
      <c r="E75" s="26"/>
    </row>
    <row r="76" spans="1:5" x14ac:dyDescent="0.3">
      <c r="D76" s="26"/>
    </row>
    <row r="77" spans="1:5" x14ac:dyDescent="0.3">
      <c r="A77" s="1" t="s">
        <v>106</v>
      </c>
      <c r="D77" s="26"/>
    </row>
    <row r="78" spans="1:5" x14ac:dyDescent="0.3">
      <c r="A78" t="s">
        <v>107</v>
      </c>
      <c r="B78" s="8">
        <v>2.65</v>
      </c>
      <c r="C78" t="s">
        <v>108</v>
      </c>
      <c r="D78" s="26">
        <v>2.65</v>
      </c>
    </row>
    <row r="79" spans="1:5" x14ac:dyDescent="0.3">
      <c r="A79" t="s">
        <v>109</v>
      </c>
      <c r="B79" s="8">
        <v>9</v>
      </c>
      <c r="C79" t="s">
        <v>108</v>
      </c>
      <c r="D79" s="28">
        <v>9</v>
      </c>
    </row>
    <row r="82" spans="1:1" x14ac:dyDescent="0.3">
      <c r="A82" s="30"/>
    </row>
  </sheetData>
  <mergeCells count="1">
    <mergeCell ref="F29:G43"/>
  </mergeCells>
  <dataValidations count="1">
    <dataValidation allowBlank="1" showErrorMessage="1" prompt="_x000a_" sqref="C3 C75 C73 C71 C69 C67 C65 C63 C47 C61 C59 C57 C55 C53 C51 C49 C7" xr:uid="{00000000-0002-0000-02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Lists!$E$2:$E$4</xm:f>
          </x14:formula1>
          <xm:sqref>B51 B49 B75 B61 B59 B57 B55 B53 B65 B67 B71 B69 B73 B63</xm:sqref>
        </x14:dataValidation>
        <x14:dataValidation type="list" allowBlank="1" showInputMessage="1" showErrorMessage="1" xr:uid="{00000000-0002-0000-0200-000002000000}">
          <x14:formula1>
            <xm:f>Lists!$A$2:$A$6</xm:f>
          </x14:formula1>
          <xm:sqref>B7</xm:sqref>
        </x14:dataValidation>
        <x14:dataValidation type="list" allowBlank="1" showInputMessage="1" showErrorMessage="1" xr:uid="{00000000-0002-0000-0200-000003000000}">
          <x14:formula1>
            <xm:f>Lists!$C$2:$C$4</xm:f>
          </x14:formula1>
          <xm:sqref>B3</xm:sqref>
        </x14:dataValidation>
        <x14:dataValidation type="list" allowBlank="1" showInputMessage="1" showErrorMessage="1" xr:uid="{6EE1930C-5C4C-42F6-9F72-8E5A9EA56C0E}">
          <x14:formula1>
            <xm:f>Lists!$E$1:$E$4</xm:f>
          </x14:formula1>
          <xm:sqref>B47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6"/>
  <sheetViews>
    <sheetView zoomScaleNormal="100" workbookViewId="0"/>
  </sheetViews>
  <sheetFormatPr defaultRowHeight="14.4" x14ac:dyDescent="0.3"/>
  <cols>
    <col min="1" max="1" width="42.6640625" customWidth="1"/>
    <col min="3" max="3" width="30.6640625" customWidth="1"/>
    <col min="5" max="5" width="19.6640625" customWidth="1"/>
    <col min="6" max="6" width="23" customWidth="1"/>
  </cols>
  <sheetData>
    <row r="1" spans="1:4" ht="15.6" x14ac:dyDescent="0.35">
      <c r="A1" t="s">
        <v>110</v>
      </c>
      <c r="B1">
        <v>193</v>
      </c>
      <c r="C1" t="s">
        <v>111</v>
      </c>
    </row>
    <row r="2" spans="1:4" ht="15.6" x14ac:dyDescent="0.35">
      <c r="A2" t="s">
        <v>112</v>
      </c>
      <c r="B2">
        <v>233.6</v>
      </c>
      <c r="C2" t="s">
        <v>111</v>
      </c>
      <c r="D2" t="s">
        <v>113</v>
      </c>
    </row>
    <row r="3" spans="1:4" ht="15.6" x14ac:dyDescent="0.35">
      <c r="A3" t="s">
        <v>114</v>
      </c>
      <c r="B3">
        <v>0.14899999999999999</v>
      </c>
      <c r="C3" t="s">
        <v>115</v>
      </c>
    </row>
    <row r="4" spans="1:4" ht="15.6" x14ac:dyDescent="0.35">
      <c r="A4" t="s">
        <v>116</v>
      </c>
      <c r="B4">
        <v>0.27200000000000002</v>
      </c>
      <c r="C4" t="s">
        <v>115</v>
      </c>
    </row>
    <row r="5" spans="1:4" ht="15.6" x14ac:dyDescent="0.35">
      <c r="A5" t="s">
        <v>117</v>
      </c>
      <c r="B5">
        <v>1.41</v>
      </c>
      <c r="C5" t="s">
        <v>118</v>
      </c>
    </row>
    <row r="6" spans="1:4" ht="15.6" x14ac:dyDescent="0.35">
      <c r="A6" t="s">
        <v>119</v>
      </c>
      <c r="B6">
        <v>3.2040000000000002</v>
      </c>
      <c r="C6" t="s">
        <v>118</v>
      </c>
    </row>
    <row r="7" spans="1:4" ht="15.6" x14ac:dyDescent="0.35">
      <c r="A7" t="s">
        <v>120</v>
      </c>
      <c r="B7">
        <v>1.71</v>
      </c>
      <c r="C7" t="s">
        <v>118</v>
      </c>
    </row>
    <row r="8" spans="1:4" ht="15.6" x14ac:dyDescent="0.35">
      <c r="A8" t="s">
        <v>121</v>
      </c>
      <c r="B8">
        <v>0.10100000000000001</v>
      </c>
      <c r="C8" t="s">
        <v>118</v>
      </c>
    </row>
    <row r="9" spans="1:4" ht="15.6" x14ac:dyDescent="0.35">
      <c r="A9" t="s">
        <v>122</v>
      </c>
      <c r="B9">
        <v>0.01</v>
      </c>
      <c r="C9" t="s">
        <v>118</v>
      </c>
    </row>
    <row r="10" spans="1:4" ht="15.6" x14ac:dyDescent="0.35">
      <c r="A10" t="s">
        <v>123</v>
      </c>
      <c r="B10">
        <v>0.89</v>
      </c>
      <c r="C10" t="s">
        <v>118</v>
      </c>
    </row>
    <row r="12" spans="1:4" x14ac:dyDescent="0.3">
      <c r="A12" s="1" t="s">
        <v>18</v>
      </c>
    </row>
    <row r="13" spans="1:4" x14ac:dyDescent="0.3">
      <c r="A13" t="s">
        <v>124</v>
      </c>
      <c r="B13">
        <v>1.3</v>
      </c>
    </row>
    <row r="14" spans="1:4" x14ac:dyDescent="0.3">
      <c r="A14" t="s">
        <v>20</v>
      </c>
      <c r="B14" s="8">
        <f>'User inputs'!B2</f>
        <v>0.184</v>
      </c>
      <c r="C14" t="s">
        <v>21</v>
      </c>
    </row>
    <row r="16" spans="1:4" x14ac:dyDescent="0.3">
      <c r="A16" t="s">
        <v>125</v>
      </c>
      <c r="B16">
        <v>175</v>
      </c>
      <c r="C16" t="s">
        <v>126</v>
      </c>
    </row>
    <row r="17" spans="1:3" ht="15.6" x14ac:dyDescent="0.35">
      <c r="A17" t="s">
        <v>127</v>
      </c>
      <c r="B17">
        <v>310.60000000000002</v>
      </c>
      <c r="C17" t="s">
        <v>115</v>
      </c>
    </row>
    <row r="18" spans="1:3" x14ac:dyDescent="0.3">
      <c r="A18" t="s">
        <v>128</v>
      </c>
      <c r="B18">
        <v>5250</v>
      </c>
      <c r="C18" t="s">
        <v>126</v>
      </c>
    </row>
    <row r="19" spans="1:3" x14ac:dyDescent="0.3">
      <c r="A19" t="s">
        <v>129</v>
      </c>
      <c r="B19">
        <v>98</v>
      </c>
      <c r="C19" t="s">
        <v>126</v>
      </c>
    </row>
    <row r="20" spans="1:3" x14ac:dyDescent="0.3">
      <c r="A20" t="s">
        <v>130</v>
      </c>
      <c r="B20">
        <v>140</v>
      </c>
      <c r="C20" t="s">
        <v>126</v>
      </c>
    </row>
    <row r="21" spans="1:3" ht="15.6" x14ac:dyDescent="0.35">
      <c r="A21" t="s">
        <v>131</v>
      </c>
      <c r="B21">
        <v>4800</v>
      </c>
      <c r="C21" t="s">
        <v>115</v>
      </c>
    </row>
    <row r="22" spans="1:3" x14ac:dyDescent="0.3">
      <c r="A22" t="s">
        <v>132</v>
      </c>
      <c r="B22">
        <v>28</v>
      </c>
      <c r="C22" t="s">
        <v>126</v>
      </c>
    </row>
    <row r="23" spans="1:3" x14ac:dyDescent="0.3">
      <c r="A23" t="s">
        <v>133</v>
      </c>
      <c r="B23">
        <v>24</v>
      </c>
      <c r="C23" t="s">
        <v>126</v>
      </c>
    </row>
    <row r="24" spans="1:3" ht="15.6" x14ac:dyDescent="0.35">
      <c r="A24" t="s">
        <v>134</v>
      </c>
      <c r="B24">
        <v>1400</v>
      </c>
      <c r="C24" t="s">
        <v>115</v>
      </c>
    </row>
    <row r="25" spans="1:3" x14ac:dyDescent="0.3">
      <c r="A25" t="s">
        <v>135</v>
      </c>
      <c r="B25">
        <v>34</v>
      </c>
      <c r="C25" t="s">
        <v>126</v>
      </c>
    </row>
    <row r="26" spans="1:3" x14ac:dyDescent="0.3">
      <c r="A26" t="s">
        <v>136</v>
      </c>
      <c r="B26">
        <v>31</v>
      </c>
      <c r="C26" t="s">
        <v>126</v>
      </c>
    </row>
    <row r="27" spans="1:3" ht="15.6" x14ac:dyDescent="0.35">
      <c r="A27" t="s">
        <v>137</v>
      </c>
      <c r="B27">
        <v>575</v>
      </c>
      <c r="C27" t="s">
        <v>115</v>
      </c>
    </row>
    <row r="28" spans="1:3" x14ac:dyDescent="0.3">
      <c r="A28" t="s">
        <v>138</v>
      </c>
      <c r="B28">
        <v>75</v>
      </c>
      <c r="C28" t="s">
        <v>139</v>
      </c>
    </row>
    <row r="29" spans="1:3" ht="15.6" x14ac:dyDescent="0.35">
      <c r="A29" t="s">
        <v>140</v>
      </c>
      <c r="B29">
        <v>95.1</v>
      </c>
      <c r="C29" t="s">
        <v>141</v>
      </c>
    </row>
    <row r="30" spans="1:3" x14ac:dyDescent="0.3">
      <c r="A30" t="s">
        <v>142</v>
      </c>
      <c r="B30">
        <v>36.299999999999997</v>
      </c>
      <c r="C30" t="s">
        <v>143</v>
      </c>
    </row>
    <row r="31" spans="1:3" ht="15.6" x14ac:dyDescent="0.35">
      <c r="A31" t="s">
        <v>144</v>
      </c>
      <c r="B31">
        <v>1.6</v>
      </c>
      <c r="C31" t="s">
        <v>145</v>
      </c>
    </row>
    <row r="32" spans="1:3" ht="15.6" x14ac:dyDescent="0.35">
      <c r="A32" t="s">
        <v>146</v>
      </c>
      <c r="B32">
        <v>298</v>
      </c>
      <c r="C32" t="s">
        <v>147</v>
      </c>
    </row>
    <row r="33" spans="1:12" x14ac:dyDescent="0.3">
      <c r="A33" t="s">
        <v>148</v>
      </c>
      <c r="B33" s="3">
        <v>0.1</v>
      </c>
    </row>
    <row r="35" spans="1:12" x14ac:dyDescent="0.3">
      <c r="A35" s="1" t="s">
        <v>27</v>
      </c>
    </row>
    <row r="36" spans="1:12" x14ac:dyDescent="0.3">
      <c r="A36" t="s">
        <v>28</v>
      </c>
      <c r="B36" s="8">
        <f>'User inputs'!B6</f>
        <v>2.1800000000000002</v>
      </c>
      <c r="C36" t="s">
        <v>29</v>
      </c>
      <c r="G36" s="22"/>
    </row>
    <row r="37" spans="1:12" x14ac:dyDescent="0.3">
      <c r="G37" s="22"/>
    </row>
    <row r="38" spans="1:12" x14ac:dyDescent="0.3">
      <c r="A38" t="s">
        <v>128</v>
      </c>
      <c r="B38">
        <v>2201</v>
      </c>
      <c r="C38" t="s">
        <v>126</v>
      </c>
      <c r="G38" s="22"/>
    </row>
    <row r="39" spans="1:12" x14ac:dyDescent="0.3">
      <c r="A39" t="s">
        <v>149</v>
      </c>
      <c r="B39">
        <v>140</v>
      </c>
      <c r="C39" t="s">
        <v>126</v>
      </c>
      <c r="G39" s="22"/>
    </row>
    <row r="40" spans="1:12" ht="15" thickBot="1" x14ac:dyDescent="0.35">
      <c r="A40" t="s">
        <v>150</v>
      </c>
      <c r="B40">
        <v>45</v>
      </c>
      <c r="C40" t="s">
        <v>126</v>
      </c>
      <c r="G40" s="22"/>
    </row>
    <row r="41" spans="1:12" ht="15" thickBot="1" x14ac:dyDescent="0.35">
      <c r="A41" t="s">
        <v>151</v>
      </c>
      <c r="B41">
        <v>135</v>
      </c>
      <c r="C41" t="s">
        <v>126</v>
      </c>
      <c r="F41" s="23"/>
      <c r="G41" s="22"/>
      <c r="H41" s="23"/>
      <c r="I41" s="23"/>
      <c r="J41" s="23"/>
      <c r="K41" s="23"/>
      <c r="L41" s="23"/>
    </row>
    <row r="42" spans="1:12" ht="15" thickBot="1" x14ac:dyDescent="0.35">
      <c r="A42" t="s">
        <v>138</v>
      </c>
      <c r="B42">
        <v>56.1</v>
      </c>
      <c r="C42" t="s">
        <v>152</v>
      </c>
      <c r="F42" s="23"/>
      <c r="G42" s="23"/>
      <c r="H42" s="23"/>
      <c r="I42" s="23"/>
      <c r="J42" s="23"/>
      <c r="K42" s="23"/>
      <c r="L42" s="23"/>
    </row>
    <row r="43" spans="1:12" x14ac:dyDescent="0.3">
      <c r="A43" t="s">
        <v>153</v>
      </c>
      <c r="B43">
        <v>31.8</v>
      </c>
      <c r="C43" t="s">
        <v>152</v>
      </c>
    </row>
    <row r="44" spans="1:12" ht="15.6" x14ac:dyDescent="0.35">
      <c r="A44" t="s">
        <v>140</v>
      </c>
      <c r="B44">
        <v>11.78</v>
      </c>
      <c r="C44" t="s">
        <v>154</v>
      </c>
    </row>
    <row r="45" spans="1:12" ht="15.6" x14ac:dyDescent="0.35">
      <c r="A45" t="s">
        <v>155</v>
      </c>
      <c r="B45">
        <v>10.23</v>
      </c>
      <c r="C45" t="s">
        <v>154</v>
      </c>
    </row>
    <row r="46" spans="1:12" x14ac:dyDescent="0.3">
      <c r="A46" t="s">
        <v>156</v>
      </c>
      <c r="B46">
        <v>0.41199999999999998</v>
      </c>
      <c r="C46" t="s">
        <v>157</v>
      </c>
    </row>
    <row r="47" spans="1:12" ht="15.6" x14ac:dyDescent="0.35">
      <c r="A47" t="s">
        <v>158</v>
      </c>
      <c r="B47" s="21">
        <f>5.72/4.54609</f>
        <v>1.2582241002707819</v>
      </c>
      <c r="C47" t="s">
        <v>159</v>
      </c>
    </row>
    <row r="48" spans="1:12" x14ac:dyDescent="0.3">
      <c r="A48" t="s">
        <v>160</v>
      </c>
      <c r="B48" s="21">
        <v>1.2E-2</v>
      </c>
    </row>
    <row r="49" spans="1:3" x14ac:dyDescent="0.3">
      <c r="A49" t="s">
        <v>161</v>
      </c>
      <c r="B49" s="21">
        <v>0.153</v>
      </c>
    </row>
    <row r="50" spans="1:3" x14ac:dyDescent="0.3">
      <c r="B50" s="6"/>
    </row>
    <row r="51" spans="1:3" x14ac:dyDescent="0.3">
      <c r="A51" s="1" t="s">
        <v>162</v>
      </c>
    </row>
    <row r="52" spans="1:3" x14ac:dyDescent="0.3">
      <c r="A52" t="s">
        <v>33</v>
      </c>
      <c r="B52">
        <v>0.14000000000000001</v>
      </c>
      <c r="C52" t="s">
        <v>163</v>
      </c>
    </row>
    <row r="53" spans="1:3" x14ac:dyDescent="0.3">
      <c r="A53" t="s">
        <v>35</v>
      </c>
      <c r="B53">
        <v>0.72599999999999998</v>
      </c>
      <c r="C53" t="s">
        <v>163</v>
      </c>
    </row>
    <row r="54" spans="1:3" x14ac:dyDescent="0.3">
      <c r="A54" t="s">
        <v>36</v>
      </c>
      <c r="B54">
        <v>3.63</v>
      </c>
      <c r="C54" t="s">
        <v>164</v>
      </c>
    </row>
    <row r="55" spans="1:3" x14ac:dyDescent="0.3">
      <c r="A55" s="1"/>
    </row>
    <row r="56" spans="1:3" x14ac:dyDescent="0.3">
      <c r="A56" t="s">
        <v>165</v>
      </c>
      <c r="B56" s="3">
        <v>0.02</v>
      </c>
    </row>
    <row r="57" spans="1:3" x14ac:dyDescent="0.3">
      <c r="A57" t="s">
        <v>166</v>
      </c>
      <c r="B57" s="3">
        <v>0.61</v>
      </c>
    </row>
    <row r="58" spans="1:3" x14ac:dyDescent="0.3">
      <c r="A58" t="s">
        <v>167</v>
      </c>
      <c r="B58" s="3">
        <v>0.37</v>
      </c>
    </row>
    <row r="59" spans="1:3" x14ac:dyDescent="0.3">
      <c r="B59" s="3"/>
    </row>
    <row r="60" spans="1:3" x14ac:dyDescent="0.3">
      <c r="A60" t="s">
        <v>168</v>
      </c>
      <c r="B60" s="21">
        <v>1.4999999999999999E-2</v>
      </c>
    </row>
    <row r="61" spans="1:3" x14ac:dyDescent="0.3">
      <c r="A61" t="s">
        <v>169</v>
      </c>
      <c r="B61" s="21">
        <v>1.4999999999999999E-2</v>
      </c>
    </row>
    <row r="62" spans="1:3" x14ac:dyDescent="0.3">
      <c r="A62" t="s">
        <v>170</v>
      </c>
      <c r="B62" s="3">
        <v>0.97</v>
      </c>
    </row>
    <row r="64" spans="1:3" x14ac:dyDescent="0.3">
      <c r="A64" s="1" t="s">
        <v>32</v>
      </c>
    </row>
    <row r="65" spans="1:3" x14ac:dyDescent="0.3">
      <c r="A65" t="s">
        <v>33</v>
      </c>
      <c r="B65" s="8">
        <f>'User inputs'!B10</f>
        <v>0.19700000000000001</v>
      </c>
      <c r="C65" t="s">
        <v>34</v>
      </c>
    </row>
    <row r="66" spans="1:3" x14ac:dyDescent="0.3">
      <c r="A66" t="s">
        <v>35</v>
      </c>
      <c r="B66" s="8">
        <f>'User inputs'!B11</f>
        <v>0.47</v>
      </c>
      <c r="C66" t="s">
        <v>34</v>
      </c>
    </row>
    <row r="67" spans="1:3" x14ac:dyDescent="0.3">
      <c r="A67" t="s">
        <v>36</v>
      </c>
      <c r="B67" s="8">
        <f>'User inputs'!B12</f>
        <v>5.92</v>
      </c>
      <c r="C67" t="s">
        <v>37</v>
      </c>
    </row>
    <row r="68" spans="1:3" x14ac:dyDescent="0.3">
      <c r="A68" t="s">
        <v>38</v>
      </c>
      <c r="B68" s="8">
        <f>'User inputs'!B13</f>
        <v>4.29</v>
      </c>
      <c r="C68" t="s">
        <v>37</v>
      </c>
    </row>
    <row r="69" spans="1:3" x14ac:dyDescent="0.3">
      <c r="A69" t="s">
        <v>39</v>
      </c>
      <c r="B69" s="8">
        <f>'User inputs'!B14</f>
        <v>4.5</v>
      </c>
      <c r="C69" t="s">
        <v>29</v>
      </c>
    </row>
    <row r="70" spans="1:3" x14ac:dyDescent="0.3">
      <c r="A70" t="s">
        <v>40</v>
      </c>
      <c r="B70" s="8">
        <f>'User inputs'!B15</f>
        <v>1.75</v>
      </c>
      <c r="C70" t="s">
        <v>29</v>
      </c>
    </row>
    <row r="71" spans="1:3" x14ac:dyDescent="0.3">
      <c r="A71" t="s">
        <v>41</v>
      </c>
      <c r="B71" s="8">
        <f>'User inputs'!B16</f>
        <v>1.7</v>
      </c>
      <c r="C71" t="s">
        <v>29</v>
      </c>
    </row>
    <row r="72" spans="1:3" x14ac:dyDescent="0.3">
      <c r="A72" t="s">
        <v>42</v>
      </c>
      <c r="B72" s="8">
        <f>'User inputs'!B17</f>
        <v>0.55000000000000004</v>
      </c>
      <c r="C72" t="s">
        <v>29</v>
      </c>
    </row>
    <row r="73" spans="1:3" x14ac:dyDescent="0.3">
      <c r="A73" t="s">
        <v>43</v>
      </c>
      <c r="B73" s="8">
        <f>'User inputs'!B18</f>
        <v>25.6</v>
      </c>
      <c r="C73" t="s">
        <v>29</v>
      </c>
    </row>
    <row r="74" spans="1:3" x14ac:dyDescent="0.3">
      <c r="A74" t="s">
        <v>44</v>
      </c>
      <c r="B74" s="8">
        <f>'User inputs'!B19</f>
        <v>0.5</v>
      </c>
      <c r="C74" t="s">
        <v>45</v>
      </c>
    </row>
    <row r="75" spans="1:3" x14ac:dyDescent="0.3">
      <c r="A75" t="s">
        <v>46</v>
      </c>
      <c r="B75" s="8">
        <f>'User inputs'!B20</f>
        <v>0.5</v>
      </c>
      <c r="C75" t="s">
        <v>45</v>
      </c>
    </row>
    <row r="76" spans="1:3" x14ac:dyDescent="0.3">
      <c r="A76" t="s">
        <v>47</v>
      </c>
      <c r="B76" s="8">
        <f>'User inputs'!B21</f>
        <v>0</v>
      </c>
      <c r="C76" t="s">
        <v>29</v>
      </c>
    </row>
    <row r="77" spans="1:3" x14ac:dyDescent="0.3">
      <c r="A77" t="s">
        <v>48</v>
      </c>
      <c r="B77" s="8">
        <f>'User inputs'!B22</f>
        <v>0</v>
      </c>
      <c r="C77" t="s">
        <v>29</v>
      </c>
    </row>
    <row r="78" spans="1:3" x14ac:dyDescent="0.3">
      <c r="A78" t="s">
        <v>49</v>
      </c>
      <c r="B78" s="8">
        <f>'User inputs'!B23</f>
        <v>0</v>
      </c>
      <c r="C78" t="s">
        <v>29</v>
      </c>
    </row>
    <row r="79" spans="1:3" x14ac:dyDescent="0.3">
      <c r="A79" t="s">
        <v>50</v>
      </c>
      <c r="B79" s="8">
        <f>'User inputs'!B24</f>
        <v>0</v>
      </c>
      <c r="C79" t="s">
        <v>29</v>
      </c>
    </row>
    <row r="80" spans="1:3" x14ac:dyDescent="0.3">
      <c r="A80" t="s">
        <v>51</v>
      </c>
      <c r="B80" s="8">
        <f>'User inputs'!B25</f>
        <v>0</v>
      </c>
      <c r="C80" t="s">
        <v>29</v>
      </c>
    </row>
    <row r="81" spans="1:6" x14ac:dyDescent="0.3">
      <c r="A81" t="s">
        <v>52</v>
      </c>
      <c r="B81" s="8">
        <f>'User inputs'!B26</f>
        <v>0</v>
      </c>
      <c r="C81" t="s">
        <v>29</v>
      </c>
    </row>
    <row r="82" spans="1:6" x14ac:dyDescent="0.3">
      <c r="A82" t="s">
        <v>53</v>
      </c>
      <c r="B82" s="8">
        <f>'User inputs'!B27</f>
        <v>0</v>
      </c>
      <c r="C82" t="s">
        <v>29</v>
      </c>
    </row>
    <row r="83" spans="1:6" x14ac:dyDescent="0.3">
      <c r="A83" t="s">
        <v>171</v>
      </c>
      <c r="B83">
        <v>4.0000000000000002E-4</v>
      </c>
      <c r="C83" t="s">
        <v>172</v>
      </c>
    </row>
    <row r="84" spans="1:6" x14ac:dyDescent="0.3">
      <c r="A84" t="s">
        <v>173</v>
      </c>
      <c r="B84">
        <v>1.21</v>
      </c>
    </row>
    <row r="85" spans="1:6" x14ac:dyDescent="0.3">
      <c r="A85" t="s">
        <v>174</v>
      </c>
      <c r="B85">
        <v>1.18</v>
      </c>
    </row>
    <row r="86" spans="1:6" x14ac:dyDescent="0.3">
      <c r="A86" t="s">
        <v>175</v>
      </c>
      <c r="B86">
        <v>0.93</v>
      </c>
    </row>
    <row r="88" spans="1:6" x14ac:dyDescent="0.3">
      <c r="A88" s="4" t="s">
        <v>176</v>
      </c>
      <c r="E88" s="4" t="s">
        <v>177</v>
      </c>
      <c r="F88" s="4" t="s">
        <v>178</v>
      </c>
    </row>
    <row r="89" spans="1:6" x14ac:dyDescent="0.3">
      <c r="A89" t="s">
        <v>54</v>
      </c>
      <c r="B89" s="8">
        <f>'User inputs'!B29</f>
        <v>2.5999999999999999E-3</v>
      </c>
      <c r="C89" t="s">
        <v>55</v>
      </c>
      <c r="E89" s="21">
        <f>B89/SUM(B$89,B$93,B$94,B$95,B$96,B$98,B$100,B$101,B$102,B$103)</f>
        <v>1.3184584178498986E-2</v>
      </c>
      <c r="F89" s="21">
        <v>0</v>
      </c>
    </row>
    <row r="90" spans="1:6" x14ac:dyDescent="0.3">
      <c r="A90" t="s">
        <v>57</v>
      </c>
      <c r="B90" s="8">
        <f>'User inputs'!B30</f>
        <v>3.5000000000000003E-2</v>
      </c>
      <c r="C90" t="s">
        <v>58</v>
      </c>
      <c r="E90" s="21">
        <v>0</v>
      </c>
      <c r="F90" s="21">
        <f>B90/SUM(B90,B91,B92,B97,B99)</f>
        <v>0.13069454817027631</v>
      </c>
    </row>
    <row r="91" spans="1:6" x14ac:dyDescent="0.3">
      <c r="A91" t="s">
        <v>59</v>
      </c>
      <c r="B91" s="8">
        <f>'User inputs'!B31</f>
        <v>1.1900000000000001E-2</v>
      </c>
      <c r="C91" t="s">
        <v>58</v>
      </c>
      <c r="E91" s="21">
        <v>0</v>
      </c>
      <c r="F91" s="21">
        <f>B91/SUM(B90,B91,B92,B97,B99)</f>
        <v>4.4436146377893948E-2</v>
      </c>
    </row>
    <row r="92" spans="1:6" x14ac:dyDescent="0.3">
      <c r="A92" t="s">
        <v>60</v>
      </c>
      <c r="B92" s="8">
        <f>'User inputs'!B32</f>
        <v>0.1244</v>
      </c>
      <c r="C92" t="s">
        <v>58</v>
      </c>
      <c r="E92" s="21">
        <v>0</v>
      </c>
      <c r="F92" s="21">
        <f>B92/SUM(B90,B91,B92,B97,B99)</f>
        <v>0.46452576549663921</v>
      </c>
    </row>
    <row r="93" spans="1:6" x14ac:dyDescent="0.3">
      <c r="A93" t="s">
        <v>61</v>
      </c>
      <c r="B93" s="8">
        <f>'User inputs'!B33</f>
        <v>7.2999999999999995E-2</v>
      </c>
      <c r="C93" t="s">
        <v>55</v>
      </c>
      <c r="E93" s="21">
        <f>B93/SUM(B$89,B$93,B$94,B$95,B$96,B$98,B$100,B$101,B$102,B$103)</f>
        <v>0.37018255578093306</v>
      </c>
      <c r="F93" s="21">
        <v>0</v>
      </c>
    </row>
    <row r="94" spans="1:6" x14ac:dyDescent="0.3">
      <c r="A94" t="s">
        <v>62</v>
      </c>
      <c r="B94" s="8">
        <f>'User inputs'!B34</f>
        <v>2.0799999999999999E-2</v>
      </c>
      <c r="C94" t="s">
        <v>55</v>
      </c>
      <c r="E94" s="21">
        <f>B94/SUM(B$89,B$93,B$94,B$95,B$96,B$98,B$100,B$101,B$102,B$103)</f>
        <v>0.10547667342799188</v>
      </c>
      <c r="F94" s="21">
        <v>0</v>
      </c>
    </row>
    <row r="95" spans="1:6" x14ac:dyDescent="0.3">
      <c r="A95" t="s">
        <v>63</v>
      </c>
      <c r="B95" s="8">
        <f>'User inputs'!B35</f>
        <v>2E-3</v>
      </c>
      <c r="C95" t="s">
        <v>55</v>
      </c>
      <c r="E95" s="21">
        <f>B95/SUM(B$89,B$93,B$94,B$95,B$96,B$98,B$100,B$101,B$102,B$103)</f>
        <v>1.0141987829614606E-2</v>
      </c>
      <c r="F95" s="21">
        <v>0</v>
      </c>
    </row>
    <row r="96" spans="1:6" x14ac:dyDescent="0.3">
      <c r="A96" t="s">
        <v>64</v>
      </c>
      <c r="B96" s="8">
        <f>'User inputs'!B36</f>
        <v>5.0000000000000001E-4</v>
      </c>
      <c r="C96" t="s">
        <v>55</v>
      </c>
      <c r="E96" s="21">
        <f>B96/SUM(B$89,B$93,B$94,B$95,B$96,B$98,B$100,B$101,B$102,B$103)</f>
        <v>2.5354969574036515E-3</v>
      </c>
      <c r="F96" s="21">
        <v>0</v>
      </c>
    </row>
    <row r="97" spans="1:6" x14ac:dyDescent="0.3">
      <c r="A97" t="s">
        <v>65</v>
      </c>
      <c r="B97" s="8">
        <f>'User inputs'!B37</f>
        <v>1.2500000000000001E-2</v>
      </c>
      <c r="C97" t="s">
        <v>58</v>
      </c>
      <c r="E97" s="21">
        <v>0</v>
      </c>
      <c r="F97" s="21">
        <f>B97/SUM(B90,B91,B92,B97,B99)</f>
        <v>4.6676624346527258E-2</v>
      </c>
    </row>
    <row r="98" spans="1:6" x14ac:dyDescent="0.3">
      <c r="A98" t="s">
        <v>66</v>
      </c>
      <c r="B98" s="8">
        <f>'User inputs'!B38</f>
        <v>3.9E-2</v>
      </c>
      <c r="C98" t="s">
        <v>55</v>
      </c>
      <c r="E98" s="21">
        <f>B98/SUM(B$89,B$93,B$94,B$95,B$96,B$98,B$100,B$101,B$102,B$103)</f>
        <v>0.19776876267748481</v>
      </c>
      <c r="F98" s="21">
        <v>0</v>
      </c>
    </row>
    <row r="99" spans="1:6" x14ac:dyDescent="0.3">
      <c r="A99" t="s">
        <v>67</v>
      </c>
      <c r="B99" s="8">
        <f>'User inputs'!B39</f>
        <v>8.4000000000000005E-2</v>
      </c>
      <c r="C99" t="s">
        <v>58</v>
      </c>
      <c r="E99" s="21">
        <v>0</v>
      </c>
      <c r="F99" s="21">
        <f>B99/SUM(B90,B91,B92,B97,B99)</f>
        <v>0.31366691560866317</v>
      </c>
    </row>
    <row r="100" spans="1:6" x14ac:dyDescent="0.3">
      <c r="A100" t="s">
        <v>68</v>
      </c>
      <c r="B100" s="8">
        <f>'User inputs'!B40</f>
        <v>1.6E-2</v>
      </c>
      <c r="C100" t="s">
        <v>55</v>
      </c>
      <c r="E100" s="21">
        <f>B100/SUM(B$89,B$93,B$94,B$95,B$96,B$98,B$100,B$101,B$102,B$103)</f>
        <v>8.1135902636916848E-2</v>
      </c>
      <c r="F100" s="21">
        <v>0</v>
      </c>
    </row>
    <row r="101" spans="1:6" x14ac:dyDescent="0.3">
      <c r="A101" t="s">
        <v>69</v>
      </c>
      <c r="B101" s="8">
        <f>'User inputs'!B41</f>
        <v>1.77E-2</v>
      </c>
      <c r="C101" t="s">
        <v>55</v>
      </c>
      <c r="E101" s="21">
        <f>B101/SUM(B$89,B$93,B$94,B$95,B$96,B$98,B$100,B$101,B$102,B$103)</f>
        <v>8.9756592292089252E-2</v>
      </c>
      <c r="F101" s="21">
        <v>0</v>
      </c>
    </row>
    <row r="102" spans="1:6" x14ac:dyDescent="0.3">
      <c r="A102" t="s">
        <v>70</v>
      </c>
      <c r="B102" s="8">
        <f>'User inputs'!B42</f>
        <v>1.38E-2</v>
      </c>
      <c r="C102" t="s">
        <v>55</v>
      </c>
      <c r="E102" s="21">
        <f>B102/SUM(B$89,B$93,B$94,B$95,B$96,B$98,B$100,B$101,B$102,B$103)</f>
        <v>6.9979716024340777E-2</v>
      </c>
      <c r="F102" s="21">
        <v>0</v>
      </c>
    </row>
    <row r="103" spans="1:6" x14ac:dyDescent="0.3">
      <c r="A103" t="s">
        <v>71</v>
      </c>
      <c r="B103" s="8">
        <f>'User inputs'!B43</f>
        <v>1.18E-2</v>
      </c>
      <c r="C103" t="s">
        <v>55</v>
      </c>
      <c r="E103" s="21">
        <f>B103/SUM(B$89,B$93,B$94,B$95,B$96,B$98,B$100,B$101,B$102,B$103)</f>
        <v>5.9837728194726172E-2</v>
      </c>
      <c r="F103" s="21">
        <v>0</v>
      </c>
    </row>
    <row r="105" spans="1:6" x14ac:dyDescent="0.3">
      <c r="A105" s="1" t="s">
        <v>179</v>
      </c>
    </row>
    <row r="106" spans="1:6" x14ac:dyDescent="0.3">
      <c r="A106" t="s">
        <v>180</v>
      </c>
      <c r="B106">
        <v>3.22</v>
      </c>
    </row>
    <row r="107" spans="1:6" x14ac:dyDescent="0.3">
      <c r="A107" s="1"/>
    </row>
    <row r="108" spans="1:6" x14ac:dyDescent="0.3">
      <c r="A108" s="4" t="s">
        <v>181</v>
      </c>
    </row>
    <row r="109" spans="1:6" ht="15.6" x14ac:dyDescent="0.35">
      <c r="A109" t="s">
        <v>182</v>
      </c>
      <c r="B109">
        <v>1403</v>
      </c>
      <c r="C109" t="s">
        <v>115</v>
      </c>
    </row>
    <row r="110" spans="1:6" ht="15.6" x14ac:dyDescent="0.35">
      <c r="A110" t="s">
        <v>183</v>
      </c>
      <c r="B110">
        <v>823</v>
      </c>
      <c r="C110" t="s">
        <v>115</v>
      </c>
    </row>
    <row r="111" spans="1:6" x14ac:dyDescent="0.3">
      <c r="A111" t="s">
        <v>184</v>
      </c>
      <c r="B111">
        <v>71</v>
      </c>
      <c r="C111" t="s">
        <v>185</v>
      </c>
    </row>
    <row r="112" spans="1:6" x14ac:dyDescent="0.3">
      <c r="A112" t="s">
        <v>186</v>
      </c>
      <c r="B112">
        <v>38</v>
      </c>
      <c r="C112" t="s">
        <v>185</v>
      </c>
    </row>
    <row r="113" spans="1:3" ht="15.6" x14ac:dyDescent="0.35">
      <c r="A113" t="s">
        <v>187</v>
      </c>
      <c r="B113">
        <v>1.98</v>
      </c>
      <c r="C113" t="s">
        <v>188</v>
      </c>
    </row>
    <row r="114" spans="1:3" ht="15.6" x14ac:dyDescent="0.35">
      <c r="A114" t="s">
        <v>189</v>
      </c>
      <c r="B114">
        <v>21.3</v>
      </c>
      <c r="C114" t="s">
        <v>115</v>
      </c>
    </row>
    <row r="115" spans="1:3" ht="15.6" x14ac:dyDescent="0.35">
      <c r="A115" t="s">
        <v>190</v>
      </c>
      <c r="B115">
        <v>8.9</v>
      </c>
      <c r="C115" t="s">
        <v>115</v>
      </c>
    </row>
    <row r="116" spans="1:3" ht="15.6" x14ac:dyDescent="0.35">
      <c r="A116" t="s">
        <v>191</v>
      </c>
      <c r="B116">
        <v>21.3</v>
      </c>
      <c r="C116" t="s">
        <v>115</v>
      </c>
    </row>
    <row r="117" spans="1:3" x14ac:dyDescent="0.3">
      <c r="A117" t="s">
        <v>192</v>
      </c>
      <c r="B117">
        <v>0.23</v>
      </c>
      <c r="C117" t="s">
        <v>193</v>
      </c>
    </row>
    <row r="118" spans="1:3" x14ac:dyDescent="0.3">
      <c r="A118" t="s">
        <v>194</v>
      </c>
      <c r="B118">
        <v>0.3</v>
      </c>
      <c r="C118" t="s">
        <v>193</v>
      </c>
    </row>
    <row r="119" spans="1:3" x14ac:dyDescent="0.3">
      <c r="A119" t="s">
        <v>195</v>
      </c>
      <c r="B119">
        <v>0.30099999999999999</v>
      </c>
      <c r="C119" t="s">
        <v>193</v>
      </c>
    </row>
    <row r="120" spans="1:3" x14ac:dyDescent="0.3">
      <c r="A120" t="s">
        <v>196</v>
      </c>
      <c r="B120">
        <v>0.36599999999999999</v>
      </c>
      <c r="C120" t="s">
        <v>193</v>
      </c>
    </row>
    <row r="121" spans="1:3" x14ac:dyDescent="0.3">
      <c r="A121" t="s">
        <v>197</v>
      </c>
      <c r="B121">
        <v>28</v>
      </c>
    </row>
    <row r="122" spans="1:3" x14ac:dyDescent="0.3">
      <c r="A122" t="s">
        <v>198</v>
      </c>
      <c r="B122">
        <v>1.2999999999999999E-3</v>
      </c>
      <c r="C122" t="s">
        <v>34</v>
      </c>
    </row>
    <row r="123" spans="1:3" x14ac:dyDescent="0.3">
      <c r="A123" t="s">
        <v>199</v>
      </c>
      <c r="B123">
        <v>7.0999999999999994E-2</v>
      </c>
      <c r="C123" t="s">
        <v>34</v>
      </c>
    </row>
    <row r="124" spans="1:3" x14ac:dyDescent="0.3">
      <c r="A124" t="s">
        <v>200</v>
      </c>
      <c r="B124" s="8">
        <f>'User inputs'!B78</f>
        <v>2.65</v>
      </c>
      <c r="C124" t="s">
        <v>201</v>
      </c>
    </row>
    <row r="125" spans="1:3" x14ac:dyDescent="0.3">
      <c r="A125" t="s">
        <v>202</v>
      </c>
      <c r="B125">
        <v>0.47</v>
      </c>
      <c r="C125" t="s">
        <v>21</v>
      </c>
    </row>
    <row r="126" spans="1:3" ht="15.6" x14ac:dyDescent="0.35">
      <c r="A126" t="s">
        <v>203</v>
      </c>
      <c r="B126">
        <f>B122*B1+B123*B2+B124*B5*B125*(B3+B4)</f>
        <v>17.575841255</v>
      </c>
      <c r="C126" t="s">
        <v>188</v>
      </c>
    </row>
    <row r="128" spans="1:3" x14ac:dyDescent="0.3">
      <c r="A128" s="4" t="s">
        <v>204</v>
      </c>
    </row>
    <row r="129" spans="1:3" ht="15.6" x14ac:dyDescent="0.35">
      <c r="A129" t="s">
        <v>205</v>
      </c>
      <c r="B129">
        <v>9123</v>
      </c>
      <c r="C129" t="s">
        <v>115</v>
      </c>
    </row>
    <row r="130" spans="1:3" ht="15.6" x14ac:dyDescent="0.35">
      <c r="A130" t="s">
        <v>206</v>
      </c>
      <c r="B130">
        <v>999</v>
      </c>
      <c r="C130" t="s">
        <v>115</v>
      </c>
    </row>
    <row r="131" spans="1:3" x14ac:dyDescent="0.3">
      <c r="A131" t="s">
        <v>207</v>
      </c>
      <c r="B131">
        <v>82</v>
      </c>
      <c r="C131" t="s">
        <v>185</v>
      </c>
    </row>
    <row r="132" spans="1:3" x14ac:dyDescent="0.3">
      <c r="A132" t="s">
        <v>208</v>
      </c>
      <c r="B132">
        <v>47</v>
      </c>
      <c r="C132" t="s">
        <v>185</v>
      </c>
    </row>
    <row r="133" spans="1:3" ht="15.6" x14ac:dyDescent="0.35">
      <c r="A133" t="s">
        <v>209</v>
      </c>
      <c r="B133">
        <v>9</v>
      </c>
      <c r="C133" t="s">
        <v>188</v>
      </c>
    </row>
    <row r="134" spans="1:3" ht="15.6" x14ac:dyDescent="0.35">
      <c r="A134" t="s">
        <v>210</v>
      </c>
      <c r="B134">
        <v>21.3</v>
      </c>
      <c r="C134" t="s">
        <v>115</v>
      </c>
    </row>
    <row r="135" spans="1:3" ht="15.6" x14ac:dyDescent="0.35">
      <c r="A135" t="s">
        <v>211</v>
      </c>
      <c r="B135">
        <v>8.9</v>
      </c>
      <c r="C135" t="s">
        <v>115</v>
      </c>
    </row>
    <row r="136" spans="1:3" ht="15.6" x14ac:dyDescent="0.35">
      <c r="A136" t="s">
        <v>212</v>
      </c>
      <c r="B136">
        <v>21.3</v>
      </c>
      <c r="C136" t="s">
        <v>115</v>
      </c>
    </row>
    <row r="137" spans="1:3" x14ac:dyDescent="0.3">
      <c r="A137" t="s">
        <v>213</v>
      </c>
      <c r="B137">
        <v>1.23E-2</v>
      </c>
      <c r="C137" t="s">
        <v>193</v>
      </c>
    </row>
    <row r="138" spans="1:3" x14ac:dyDescent="0.3">
      <c r="A138" t="s">
        <v>214</v>
      </c>
      <c r="B138">
        <v>1.6299999999999999E-2</v>
      </c>
      <c r="C138" t="s">
        <v>193</v>
      </c>
    </row>
    <row r="140" spans="1:3" x14ac:dyDescent="0.3">
      <c r="A140" s="4" t="s">
        <v>215</v>
      </c>
    </row>
    <row r="141" spans="1:3" ht="15.6" x14ac:dyDescent="0.35">
      <c r="A141" t="s">
        <v>216</v>
      </c>
      <c r="B141">
        <v>3101</v>
      </c>
      <c r="C141" t="s">
        <v>115</v>
      </c>
    </row>
    <row r="142" spans="1:3" ht="15.6" x14ac:dyDescent="0.35">
      <c r="A142" t="s">
        <v>217</v>
      </c>
      <c r="B142">
        <v>1741</v>
      </c>
      <c r="C142" t="s">
        <v>115</v>
      </c>
    </row>
    <row r="143" spans="1:3" x14ac:dyDescent="0.3">
      <c r="A143" t="s">
        <v>218</v>
      </c>
      <c r="B143">
        <v>84</v>
      </c>
      <c r="C143" t="s">
        <v>185</v>
      </c>
    </row>
    <row r="144" spans="1:3" x14ac:dyDescent="0.3">
      <c r="A144" t="s">
        <v>219</v>
      </c>
      <c r="B144">
        <v>50</v>
      </c>
      <c r="C144" t="s">
        <v>185</v>
      </c>
    </row>
    <row r="145" spans="1:3" ht="15.6" x14ac:dyDescent="0.35">
      <c r="A145" t="s">
        <v>209</v>
      </c>
      <c r="B145">
        <v>9</v>
      </c>
      <c r="C145" t="s">
        <v>188</v>
      </c>
    </row>
    <row r="146" spans="1:3" ht="15.6" x14ac:dyDescent="0.35">
      <c r="A146" t="s">
        <v>220</v>
      </c>
      <c r="B146">
        <v>21.3</v>
      </c>
      <c r="C146" t="s">
        <v>115</v>
      </c>
    </row>
    <row r="147" spans="1:3" ht="15.6" x14ac:dyDescent="0.35">
      <c r="A147" t="s">
        <v>221</v>
      </c>
      <c r="B147">
        <v>8.9</v>
      </c>
      <c r="C147" t="s">
        <v>115</v>
      </c>
    </row>
    <row r="148" spans="1:3" ht="15.6" x14ac:dyDescent="0.35">
      <c r="A148" t="s">
        <v>222</v>
      </c>
      <c r="B148">
        <v>21.3</v>
      </c>
      <c r="C148" t="s">
        <v>115</v>
      </c>
    </row>
    <row r="149" spans="1:3" x14ac:dyDescent="0.3">
      <c r="A149" t="s">
        <v>223</v>
      </c>
      <c r="B149">
        <f>2.1*B137</f>
        <v>2.5830000000000002E-2</v>
      </c>
      <c r="C149" t="s">
        <v>193</v>
      </c>
    </row>
    <row r="150" spans="1:3" x14ac:dyDescent="0.3">
      <c r="A150" t="s">
        <v>224</v>
      </c>
      <c r="B150">
        <f>2.1*B138</f>
        <v>3.4229999999999997E-2</v>
      </c>
      <c r="C150" t="s">
        <v>193</v>
      </c>
    </row>
    <row r="151" spans="1:3" x14ac:dyDescent="0.3">
      <c r="A151" t="s">
        <v>225</v>
      </c>
      <c r="B151">
        <v>6</v>
      </c>
      <c r="C151" t="s">
        <v>193</v>
      </c>
    </row>
    <row r="152" spans="1:3" x14ac:dyDescent="0.3">
      <c r="A152" t="s">
        <v>226</v>
      </c>
      <c r="B152">
        <v>9.6</v>
      </c>
      <c r="C152" t="s">
        <v>193</v>
      </c>
    </row>
    <row r="153" spans="1:3" x14ac:dyDescent="0.3">
      <c r="A153" t="s">
        <v>227</v>
      </c>
      <c r="B153">
        <v>85</v>
      </c>
    </row>
    <row r="154" spans="1:3" ht="15.6" x14ac:dyDescent="0.35">
      <c r="A154" t="s">
        <v>228</v>
      </c>
      <c r="B154">
        <v>0.68</v>
      </c>
      <c r="C154" t="s">
        <v>229</v>
      </c>
    </row>
    <row r="155" spans="1:3" x14ac:dyDescent="0.3">
      <c r="A155" t="s">
        <v>230</v>
      </c>
      <c r="B155">
        <v>47.5</v>
      </c>
      <c r="C155" t="s">
        <v>231</v>
      </c>
    </row>
    <row r="156" spans="1:3" x14ac:dyDescent="0.3">
      <c r="A156" t="s">
        <v>109</v>
      </c>
      <c r="B156" s="8">
        <f>'User inputs'!B79</f>
        <v>9</v>
      </c>
      <c r="C156" t="s">
        <v>232</v>
      </c>
    </row>
    <row r="158" spans="1:3" x14ac:dyDescent="0.3">
      <c r="A158" s="4" t="s">
        <v>233</v>
      </c>
    </row>
    <row r="159" spans="1:3" ht="15.6" x14ac:dyDescent="0.35">
      <c r="A159" t="s">
        <v>234</v>
      </c>
      <c r="B159">
        <v>4030</v>
      </c>
      <c r="C159" t="s">
        <v>115</v>
      </c>
    </row>
    <row r="160" spans="1:3" ht="15.6" x14ac:dyDescent="0.35">
      <c r="A160" t="s">
        <v>235</v>
      </c>
      <c r="B160">
        <v>3130</v>
      </c>
      <c r="C160" t="s">
        <v>115</v>
      </c>
    </row>
    <row r="161" spans="1:3" x14ac:dyDescent="0.3">
      <c r="A161" t="s">
        <v>236</v>
      </c>
      <c r="B161">
        <v>74</v>
      </c>
      <c r="C161" t="s">
        <v>185</v>
      </c>
    </row>
    <row r="162" spans="1:3" x14ac:dyDescent="0.3">
      <c r="A162" t="s">
        <v>237</v>
      </c>
      <c r="B162">
        <v>5</v>
      </c>
      <c r="C162" t="s">
        <v>185</v>
      </c>
    </row>
    <row r="163" spans="1:3" ht="15.6" x14ac:dyDescent="0.35">
      <c r="A163" t="s">
        <v>187</v>
      </c>
      <c r="B163">
        <v>1.98</v>
      </c>
      <c r="C163" t="s">
        <v>188</v>
      </c>
    </row>
    <row r="164" spans="1:3" ht="15.6" x14ac:dyDescent="0.35">
      <c r="A164" t="s">
        <v>238</v>
      </c>
      <c r="B164">
        <v>21.3</v>
      </c>
      <c r="C164" t="s">
        <v>115</v>
      </c>
    </row>
    <row r="165" spans="1:3" ht="15.6" x14ac:dyDescent="0.35">
      <c r="A165" t="s">
        <v>239</v>
      </c>
      <c r="B165">
        <v>8.9</v>
      </c>
      <c r="C165" t="s">
        <v>115</v>
      </c>
    </row>
    <row r="166" spans="1:3" ht="15.6" x14ac:dyDescent="0.35">
      <c r="A166" t="s">
        <v>240</v>
      </c>
      <c r="B166">
        <v>21.3</v>
      </c>
      <c r="C166" t="s">
        <v>115</v>
      </c>
    </row>
    <row r="167" spans="1:3" x14ac:dyDescent="0.3">
      <c r="A167" t="s">
        <v>241</v>
      </c>
      <c r="B167">
        <v>0.03</v>
      </c>
      <c r="C167" t="s">
        <v>193</v>
      </c>
    </row>
    <row r="168" spans="1:3" x14ac:dyDescent="0.3">
      <c r="A168" t="s">
        <v>242</v>
      </c>
      <c r="B168">
        <v>5.5E-2</v>
      </c>
      <c r="C168" t="s">
        <v>193</v>
      </c>
    </row>
    <row r="169" spans="1:3" x14ac:dyDescent="0.3">
      <c r="A169" t="s">
        <v>243</v>
      </c>
      <c r="B169">
        <v>1.05</v>
      </c>
      <c r="C169" t="s">
        <v>193</v>
      </c>
    </row>
    <row r="170" spans="1:3" x14ac:dyDescent="0.3">
      <c r="A170" t="s">
        <v>244</v>
      </c>
      <c r="B170">
        <v>1.6</v>
      </c>
      <c r="C170" t="s">
        <v>193</v>
      </c>
    </row>
    <row r="171" spans="1:3" ht="15.6" x14ac:dyDescent="0.35">
      <c r="A171" t="s">
        <v>245</v>
      </c>
      <c r="B171">
        <v>0.68</v>
      </c>
      <c r="C171" t="s">
        <v>229</v>
      </c>
    </row>
    <row r="173" spans="1:3" x14ac:dyDescent="0.3">
      <c r="A173" s="4" t="s">
        <v>246</v>
      </c>
    </row>
    <row r="174" spans="1:3" x14ac:dyDescent="0.3">
      <c r="A174" t="s">
        <v>247</v>
      </c>
      <c r="B174">
        <v>0.9</v>
      </c>
      <c r="C174" t="s">
        <v>248</v>
      </c>
    </row>
    <row r="175" spans="1:3" x14ac:dyDescent="0.3">
      <c r="A175" t="s">
        <v>249</v>
      </c>
      <c r="B175">
        <v>0.73</v>
      </c>
    </row>
    <row r="176" spans="1:3" ht="15.6" x14ac:dyDescent="0.35">
      <c r="A176" t="s">
        <v>250</v>
      </c>
      <c r="B176">
        <v>919.4</v>
      </c>
      <c r="C176" t="s">
        <v>115</v>
      </c>
    </row>
    <row r="177" spans="1:3" ht="15.6" x14ac:dyDescent="0.35">
      <c r="A177" t="s">
        <v>251</v>
      </c>
      <c r="B177">
        <v>739.4</v>
      </c>
      <c r="C177" t="s">
        <v>115</v>
      </c>
    </row>
    <row r="178" spans="1:3" x14ac:dyDescent="0.3">
      <c r="A178" t="s">
        <v>252</v>
      </c>
      <c r="B178">
        <v>0.224</v>
      </c>
      <c r="C178" t="s">
        <v>248</v>
      </c>
    </row>
    <row r="179" spans="1:3" ht="15.6" x14ac:dyDescent="0.35">
      <c r="A179" t="s">
        <v>253</v>
      </c>
      <c r="B179">
        <v>2350</v>
      </c>
      <c r="C179" t="s">
        <v>115</v>
      </c>
    </row>
    <row r="180" spans="1:3" ht="15.6" x14ac:dyDescent="0.35">
      <c r="A180" t="s">
        <v>254</v>
      </c>
      <c r="B180">
        <v>1041.7850000000001</v>
      </c>
      <c r="C180" t="s">
        <v>115</v>
      </c>
    </row>
    <row r="181" spans="1:3" ht="15.6" x14ac:dyDescent="0.35">
      <c r="A181" t="s">
        <v>255</v>
      </c>
      <c r="B181">
        <v>21.28</v>
      </c>
      <c r="C181" t="s">
        <v>115</v>
      </c>
    </row>
    <row r="182" spans="1:3" ht="15.6" x14ac:dyDescent="0.35">
      <c r="A182" t="s">
        <v>256</v>
      </c>
      <c r="B182">
        <v>21.28</v>
      </c>
      <c r="C182" t="s">
        <v>115</v>
      </c>
    </row>
    <row r="183" spans="1:3" x14ac:dyDescent="0.3">
      <c r="A183" t="s">
        <v>257</v>
      </c>
      <c r="B183">
        <v>1.99</v>
      </c>
      <c r="C183" t="s">
        <v>248</v>
      </c>
    </row>
    <row r="184" spans="1:3" x14ac:dyDescent="0.3">
      <c r="A184" t="s">
        <v>258</v>
      </c>
      <c r="B184">
        <v>3.8</v>
      </c>
      <c r="C184" t="s">
        <v>259</v>
      </c>
    </row>
    <row r="185" spans="1:3" x14ac:dyDescent="0.3">
      <c r="A185" t="s">
        <v>260</v>
      </c>
      <c r="B185">
        <v>37.5</v>
      </c>
      <c r="C185" t="s">
        <v>29</v>
      </c>
    </row>
    <row r="186" spans="1:3" x14ac:dyDescent="0.3">
      <c r="A186" t="s">
        <v>261</v>
      </c>
      <c r="B186">
        <v>11.5</v>
      </c>
      <c r="C186" t="s">
        <v>29</v>
      </c>
    </row>
    <row r="187" spans="1:3" ht="15.6" x14ac:dyDescent="0.35">
      <c r="A187" t="s">
        <v>262</v>
      </c>
      <c r="B187">
        <v>828.87</v>
      </c>
      <c r="C187" t="s">
        <v>115</v>
      </c>
    </row>
    <row r="188" spans="1:3" ht="15.6" x14ac:dyDescent="0.35">
      <c r="A188" t="s">
        <v>263</v>
      </c>
      <c r="B188">
        <v>719.56</v>
      </c>
      <c r="C188" t="s">
        <v>115</v>
      </c>
    </row>
    <row r="189" spans="1:3" x14ac:dyDescent="0.3">
      <c r="A189" t="s">
        <v>264</v>
      </c>
      <c r="B189">
        <v>29.6</v>
      </c>
      <c r="C189" t="s">
        <v>29</v>
      </c>
    </row>
    <row r="190" spans="1:3" x14ac:dyDescent="0.3">
      <c r="A190" t="s">
        <v>265</v>
      </c>
      <c r="B190">
        <v>19.399999999999999</v>
      </c>
      <c r="C190" t="s">
        <v>29</v>
      </c>
    </row>
    <row r="191" spans="1:3" x14ac:dyDescent="0.3">
      <c r="A191" t="s">
        <v>266</v>
      </c>
      <c r="B191">
        <v>122</v>
      </c>
      <c r="C191" t="s">
        <v>29</v>
      </c>
    </row>
    <row r="192" spans="1:3" x14ac:dyDescent="0.3">
      <c r="A192" t="s">
        <v>267</v>
      </c>
      <c r="B192">
        <v>0.71</v>
      </c>
      <c r="C192" t="s">
        <v>29</v>
      </c>
    </row>
    <row r="193" spans="1:3" x14ac:dyDescent="0.3">
      <c r="A193" t="s">
        <v>268</v>
      </c>
      <c r="B193">
        <v>0.6</v>
      </c>
      <c r="C193" t="s">
        <v>29</v>
      </c>
    </row>
    <row r="194" spans="1:3" ht="15.6" x14ac:dyDescent="0.35">
      <c r="A194" t="s">
        <v>269</v>
      </c>
      <c r="B194">
        <v>21.28</v>
      </c>
      <c r="C194" t="s">
        <v>115</v>
      </c>
    </row>
    <row r="195" spans="1:3" ht="15.6" x14ac:dyDescent="0.35">
      <c r="A195" t="s">
        <v>270</v>
      </c>
      <c r="B195">
        <v>21.28</v>
      </c>
      <c r="C195" t="s">
        <v>115</v>
      </c>
    </row>
    <row r="196" spans="1:3" ht="15.6" x14ac:dyDescent="0.35">
      <c r="A196" t="s">
        <v>271</v>
      </c>
      <c r="B196">
        <v>8.8829999999999991</v>
      </c>
      <c r="C196" t="s">
        <v>115</v>
      </c>
    </row>
    <row r="197" spans="1:3" ht="15.6" x14ac:dyDescent="0.35">
      <c r="A197" t="s">
        <v>272</v>
      </c>
      <c r="B197">
        <v>21.28</v>
      </c>
      <c r="C197" t="s">
        <v>115</v>
      </c>
    </row>
    <row r="198" spans="1:3" ht="15.6" x14ac:dyDescent="0.35">
      <c r="A198" t="s">
        <v>273</v>
      </c>
      <c r="B198">
        <v>312.61</v>
      </c>
      <c r="C198" t="s">
        <v>115</v>
      </c>
    </row>
    <row r="199" spans="1:3" ht="15.6" x14ac:dyDescent="0.35">
      <c r="A199" t="s">
        <v>274</v>
      </c>
      <c r="B199">
        <v>2600.64</v>
      </c>
      <c r="C199" t="s">
        <v>115</v>
      </c>
    </row>
    <row r="200" spans="1:3" ht="15.6" x14ac:dyDescent="0.35">
      <c r="A200" t="s">
        <v>275</v>
      </c>
      <c r="B200">
        <v>1797.22</v>
      </c>
      <c r="C200" t="s">
        <v>115</v>
      </c>
    </row>
    <row r="201" spans="1:3" x14ac:dyDescent="0.3">
      <c r="A201" t="s">
        <v>276</v>
      </c>
      <c r="B201">
        <v>25</v>
      </c>
    </row>
    <row r="202" spans="1:3" x14ac:dyDescent="0.3">
      <c r="A202" t="s">
        <v>277</v>
      </c>
      <c r="B202">
        <v>0.3</v>
      </c>
    </row>
    <row r="204" spans="1:3" x14ac:dyDescent="0.3">
      <c r="A204" s="1" t="s">
        <v>72</v>
      </c>
    </row>
    <row r="205" spans="1:3" x14ac:dyDescent="0.3">
      <c r="A205" t="s">
        <v>278</v>
      </c>
      <c r="B205" s="8">
        <f>'User inputs'!B46</f>
        <v>220</v>
      </c>
      <c r="C205" t="s">
        <v>74</v>
      </c>
    </row>
    <row r="206" spans="1:3" x14ac:dyDescent="0.3">
      <c r="A206" t="s">
        <v>279</v>
      </c>
      <c r="B206" s="8">
        <f>'User inputs'!B50</f>
        <v>200</v>
      </c>
      <c r="C206" t="s">
        <v>74</v>
      </c>
    </row>
    <row r="207" spans="1:3" x14ac:dyDescent="0.3">
      <c r="A207" t="s">
        <v>82</v>
      </c>
      <c r="B207" s="8">
        <f>'User inputs'!B52</f>
        <v>200</v>
      </c>
      <c r="C207" t="s">
        <v>74</v>
      </c>
    </row>
    <row r="208" spans="1:3" x14ac:dyDescent="0.3">
      <c r="A208" t="s">
        <v>84</v>
      </c>
      <c r="B208" s="8">
        <f>'User inputs'!B54</f>
        <v>200</v>
      </c>
      <c r="C208" t="s">
        <v>74</v>
      </c>
    </row>
    <row r="209" spans="1:5" x14ac:dyDescent="0.3">
      <c r="A209" t="s">
        <v>86</v>
      </c>
      <c r="B209" s="8">
        <f>'User inputs'!B56</f>
        <v>200</v>
      </c>
      <c r="C209" t="s">
        <v>74</v>
      </c>
    </row>
    <row r="210" spans="1:5" x14ac:dyDescent="0.3">
      <c r="A210" t="s">
        <v>88</v>
      </c>
      <c r="B210" s="8">
        <f>'User inputs'!B58</f>
        <v>200</v>
      </c>
      <c r="C210" t="s">
        <v>74</v>
      </c>
    </row>
    <row r="211" spans="1:5" x14ac:dyDescent="0.3">
      <c r="A211" t="s">
        <v>90</v>
      </c>
      <c r="B211" s="8">
        <f>'User inputs'!B60</f>
        <v>200</v>
      </c>
      <c r="C211" t="s">
        <v>74</v>
      </c>
    </row>
    <row r="212" spans="1:5" x14ac:dyDescent="0.3">
      <c r="A212" t="s">
        <v>280</v>
      </c>
      <c r="B212" s="8">
        <f>'User inputs'!B62</f>
        <v>200</v>
      </c>
      <c r="C212" t="s">
        <v>74</v>
      </c>
    </row>
    <row r="213" spans="1:5" x14ac:dyDescent="0.3">
      <c r="A213" t="s">
        <v>94</v>
      </c>
      <c r="B213" s="8">
        <f>'User inputs'!B64</f>
        <v>200</v>
      </c>
      <c r="C213" t="s">
        <v>74</v>
      </c>
    </row>
    <row r="214" spans="1:5" x14ac:dyDescent="0.3">
      <c r="A214" t="s">
        <v>96</v>
      </c>
      <c r="B214" s="8">
        <f>'User inputs'!B66</f>
        <v>200</v>
      </c>
      <c r="C214" t="s">
        <v>74</v>
      </c>
    </row>
    <row r="215" spans="1:5" x14ac:dyDescent="0.3">
      <c r="A215" t="s">
        <v>281</v>
      </c>
      <c r="B215" s="8">
        <f>'User inputs'!B68</f>
        <v>200</v>
      </c>
      <c r="C215" t="s">
        <v>74</v>
      </c>
    </row>
    <row r="216" spans="1:5" x14ac:dyDescent="0.3">
      <c r="A216" t="s">
        <v>282</v>
      </c>
      <c r="B216" s="8">
        <f>'User inputs'!B70</f>
        <v>200</v>
      </c>
      <c r="C216" t="s">
        <v>74</v>
      </c>
    </row>
    <row r="217" spans="1:5" x14ac:dyDescent="0.3">
      <c r="A217" t="s">
        <v>283</v>
      </c>
      <c r="B217" s="8">
        <f>'User inputs'!B72</f>
        <v>200</v>
      </c>
      <c r="C217" t="s">
        <v>74</v>
      </c>
    </row>
    <row r="218" spans="1:5" x14ac:dyDescent="0.3">
      <c r="A218" t="s">
        <v>104</v>
      </c>
      <c r="B218" s="8">
        <f>'User inputs'!B74</f>
        <v>200</v>
      </c>
      <c r="C218" t="s">
        <v>74</v>
      </c>
    </row>
    <row r="220" spans="1:5" x14ac:dyDescent="0.3">
      <c r="A220" s="4" t="s">
        <v>30</v>
      </c>
    </row>
    <row r="221" spans="1:5" x14ac:dyDescent="0.3">
      <c r="B221" s="54" t="s">
        <v>74</v>
      </c>
      <c r="C221" s="54"/>
      <c r="D221" s="54"/>
      <c r="E221" s="54"/>
    </row>
    <row r="222" spans="1:5" x14ac:dyDescent="0.3">
      <c r="A222" t="s">
        <v>284</v>
      </c>
      <c r="B222" t="s">
        <v>31</v>
      </c>
      <c r="C222" t="s">
        <v>285</v>
      </c>
      <c r="D222" t="s">
        <v>286</v>
      </c>
      <c r="E222" t="s">
        <v>287</v>
      </c>
    </row>
    <row r="223" spans="1:5" x14ac:dyDescent="0.3">
      <c r="A223" t="s">
        <v>288</v>
      </c>
      <c r="B223">
        <v>200</v>
      </c>
      <c r="C223">
        <v>1685</v>
      </c>
      <c r="D223">
        <v>4768</v>
      </c>
      <c r="E223">
        <v>568</v>
      </c>
    </row>
    <row r="224" spans="1:5" x14ac:dyDescent="0.3">
      <c r="A224" t="s">
        <v>289</v>
      </c>
      <c r="B224">
        <v>0</v>
      </c>
      <c r="C224">
        <v>44</v>
      </c>
      <c r="D224">
        <v>7041</v>
      </c>
      <c r="E224">
        <v>25041</v>
      </c>
    </row>
    <row r="226" spans="1:3" ht="15.6" x14ac:dyDescent="0.35">
      <c r="A226" t="s">
        <v>290</v>
      </c>
      <c r="B226">
        <v>185.97</v>
      </c>
      <c r="C226" t="s">
        <v>291</v>
      </c>
    </row>
    <row r="227" spans="1:3" ht="15.6" x14ac:dyDescent="0.35">
      <c r="A227" t="s">
        <v>292</v>
      </c>
      <c r="B227">
        <v>16.14</v>
      </c>
      <c r="C227" t="s">
        <v>291</v>
      </c>
    </row>
    <row r="229" spans="1:3" x14ac:dyDescent="0.3">
      <c r="A229" s="1" t="s">
        <v>293</v>
      </c>
    </row>
    <row r="230" spans="1:3" x14ac:dyDescent="0.3">
      <c r="A230" t="s">
        <v>294</v>
      </c>
      <c r="B230">
        <v>2.5000000000000001E-2</v>
      </c>
    </row>
    <row r="231" spans="1:3" x14ac:dyDescent="0.3">
      <c r="A231" t="s">
        <v>295</v>
      </c>
      <c r="B231">
        <v>4.3E-3</v>
      </c>
      <c r="C231" t="s">
        <v>296</v>
      </c>
    </row>
    <row r="232" spans="1:3" x14ac:dyDescent="0.3">
      <c r="A232" t="s">
        <v>297</v>
      </c>
      <c r="B232">
        <v>5</v>
      </c>
      <c r="C232" t="s">
        <v>298</v>
      </c>
    </row>
    <row r="233" spans="1:3" x14ac:dyDescent="0.3">
      <c r="A233" t="s">
        <v>299</v>
      </c>
      <c r="B233">
        <v>3</v>
      </c>
      <c r="C233" t="s">
        <v>298</v>
      </c>
    </row>
    <row r="234" spans="1:3" x14ac:dyDescent="0.3">
      <c r="A234" t="s">
        <v>300</v>
      </c>
      <c r="B234">
        <v>0.2</v>
      </c>
      <c r="C234" t="s">
        <v>301</v>
      </c>
    </row>
    <row r="235" spans="1:3" x14ac:dyDescent="0.3">
      <c r="A235" t="s">
        <v>302</v>
      </c>
      <c r="B235">
        <v>100</v>
      </c>
      <c r="C235" t="s">
        <v>303</v>
      </c>
    </row>
    <row r="236" spans="1:3" x14ac:dyDescent="0.3">
      <c r="A236" t="s">
        <v>304</v>
      </c>
      <c r="B236">
        <v>4</v>
      </c>
      <c r="C236" t="s">
        <v>305</v>
      </c>
    </row>
  </sheetData>
  <mergeCells count="1">
    <mergeCell ref="B221:E2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6"/>
  <sheetViews>
    <sheetView zoomScaleNormal="100" workbookViewId="0"/>
  </sheetViews>
  <sheetFormatPr defaultRowHeight="14.4" x14ac:dyDescent="0.3"/>
  <cols>
    <col min="1" max="1" width="41.88671875" customWidth="1"/>
    <col min="2" max="2" width="34.6640625" style="2" customWidth="1"/>
    <col min="3" max="3" width="31.33203125" customWidth="1"/>
    <col min="4" max="4" width="32" customWidth="1"/>
    <col min="5" max="6" width="33" customWidth="1"/>
    <col min="7" max="7" width="10.33203125" customWidth="1"/>
    <col min="8" max="8" width="24" customWidth="1"/>
  </cols>
  <sheetData>
    <row r="1" spans="1:7" x14ac:dyDescent="0.3">
      <c r="A1" s="1" t="s">
        <v>18</v>
      </c>
    </row>
    <row r="2" spans="1:7" x14ac:dyDescent="0.3">
      <c r="A2" s="1"/>
    </row>
    <row r="3" spans="1:7" x14ac:dyDescent="0.3">
      <c r="A3" s="4" t="s">
        <v>306</v>
      </c>
      <c r="E3" s="4" t="s">
        <v>307</v>
      </c>
      <c r="F3" s="4"/>
      <c r="G3" s="2"/>
    </row>
    <row r="4" spans="1:7" x14ac:dyDescent="0.3">
      <c r="A4" s="1"/>
      <c r="E4" s="1"/>
      <c r="F4" s="1"/>
      <c r="G4" s="2"/>
    </row>
    <row r="5" spans="1:7" ht="15.6" x14ac:dyDescent="0.35">
      <c r="A5" t="s">
        <v>308</v>
      </c>
      <c r="B5" s="2">
        <f>SUM(B7:B11)</f>
        <v>51.001246560846553</v>
      </c>
      <c r="C5" t="s">
        <v>188</v>
      </c>
      <c r="E5" t="s">
        <v>308</v>
      </c>
      <c r="F5" s="2">
        <f>SUM(F7:F11)</f>
        <v>66.364993439153437</v>
      </c>
      <c r="G5" t="s">
        <v>188</v>
      </c>
    </row>
    <row r="6" spans="1:7" x14ac:dyDescent="0.3">
      <c r="F6" s="2"/>
    </row>
    <row r="7" spans="1:7" ht="15.6" x14ac:dyDescent="0.35">
      <c r="A7" t="s">
        <v>309</v>
      </c>
      <c r="B7" s="2">
        <f>(('Data and assumptions'!B19*'Data and assumptions'!B21+'Data and assumptions'!B22*'Data and assumptions'!B24+'Data and assumptions'!B25*'Data and assumptions'!B27)/'Data and assumptions'!B18)*'Data and assumptions'!B14</f>
        <v>18.545447619047618</v>
      </c>
      <c r="C7" t="s">
        <v>188</v>
      </c>
      <c r="E7" t="s">
        <v>309</v>
      </c>
      <c r="F7" s="2">
        <f>(('Data and assumptions'!B20*'Data and assumptions'!B21+'Data and assumptions'!B23*'Data and assumptions'!B24+'Data and assumptions'!B26*'Data and assumptions'!B27)/'Data and assumptions'!B18)*'Data and assumptions'!B14</f>
        <v>25.354323809523809</v>
      </c>
      <c r="G7" t="s">
        <v>188</v>
      </c>
    </row>
    <row r="8" spans="1:7" ht="15.6" x14ac:dyDescent="0.35">
      <c r="A8" t="s">
        <v>310</v>
      </c>
      <c r="B8" s="2">
        <f>1000*'Data and assumptions'!B14*'Data and assumptions'!B32*'Data and assumptions'!B19*'Data and assumptions'!B31/(100*'Data and assumptions'!B18)</f>
        <v>16.376490666666665</v>
      </c>
      <c r="C8" t="s">
        <v>188</v>
      </c>
      <c r="E8" t="s">
        <v>310</v>
      </c>
      <c r="F8" s="2">
        <f>1000*'Data and assumptions'!B14*'Data and assumptions'!B32*'Data and assumptions'!B20*'Data and assumptions'!B31/(100*'Data and assumptions'!B18)</f>
        <v>23.394986666666668</v>
      </c>
      <c r="G8" t="s">
        <v>188</v>
      </c>
    </row>
    <row r="9" spans="1:7" ht="15.6" x14ac:dyDescent="0.35">
      <c r="A9" t="s">
        <v>311</v>
      </c>
      <c r="B9" s="2">
        <f>'Data and assumptions'!B28*'Data and assumptions'!B29*'Data and assumptions'!B30*'Data and assumptions'!B14/'Data and assumptions'!B18</f>
        <v>9.0741702857142847</v>
      </c>
      <c r="C9" t="s">
        <v>188</v>
      </c>
      <c r="E9" t="s">
        <v>311</v>
      </c>
      <c r="F9" s="2">
        <f>'Data and assumptions'!B28*'Data and assumptions'!B29*'Data and assumptions'!B30*'Data and assumptions'!B14/'Data and assumptions'!B18</f>
        <v>9.0741702857142847</v>
      </c>
      <c r="G9" t="s">
        <v>188</v>
      </c>
    </row>
    <row r="10" spans="1:7" ht="15.6" x14ac:dyDescent="0.35">
      <c r="A10" t="s">
        <v>312</v>
      </c>
      <c r="B10" s="2">
        <f>'Data and assumptions'!B16*'Data and assumptions'!B17*'Data and assumptions'!B14/'Data and assumptions'!B18</f>
        <v>1.9050133333333337</v>
      </c>
      <c r="C10" t="s">
        <v>188</v>
      </c>
      <c r="E10" t="s">
        <v>312</v>
      </c>
      <c r="F10" s="2">
        <f>'Data and assumptions'!B16*'Data and assumptions'!B17*'Data and assumptions'!B14/'Data and assumptions'!B18</f>
        <v>1.9050133333333337</v>
      </c>
      <c r="G10" t="s">
        <v>188</v>
      </c>
    </row>
    <row r="11" spans="1:7" ht="15.6" x14ac:dyDescent="0.35">
      <c r="A11" t="s">
        <v>313</v>
      </c>
      <c r="B11" s="2">
        <f>'Data and assumptions'!B33*SUM(B7:B10)/(1-'Data and assumptions'!B33)</f>
        <v>5.1001246560846552</v>
      </c>
      <c r="C11" t="s">
        <v>188</v>
      </c>
      <c r="E11" t="s">
        <v>313</v>
      </c>
      <c r="F11" s="2">
        <f>'Data and assumptions'!B33*SUM(F7:F10)/(1-'Data and assumptions'!B33)</f>
        <v>6.6364993439153448</v>
      </c>
      <c r="G11" t="s">
        <v>188</v>
      </c>
    </row>
    <row r="13" spans="1:7" x14ac:dyDescent="0.3">
      <c r="A13" s="1" t="s">
        <v>27</v>
      </c>
    </row>
    <row r="14" spans="1:7" ht="15.6" x14ac:dyDescent="0.35">
      <c r="A14" t="s">
        <v>308</v>
      </c>
      <c r="B14" s="2">
        <f>SUM(B16:B21)</f>
        <v>4.2788887870435328</v>
      </c>
      <c r="C14" t="s">
        <v>188</v>
      </c>
    </row>
    <row r="16" spans="1:7" ht="15.6" x14ac:dyDescent="0.35">
      <c r="A16" t="s">
        <v>309</v>
      </c>
      <c r="B16" s="2">
        <f>('Data and assumptions'!B39*'Data and assumptions'!B21+'Data and assumptions'!B40*'Data and assumptions'!B24+'Data and assumptions'!B41*'Data and assumptions'!B27)*'Data and assumptions'!B36/('Data and assumptions'!B38*1000)</f>
        <v>0.80487164925034083</v>
      </c>
      <c r="C16" t="s">
        <v>188</v>
      </c>
    </row>
    <row r="17" spans="1:3" ht="15.6" x14ac:dyDescent="0.35">
      <c r="A17" t="s">
        <v>314</v>
      </c>
      <c r="B17" s="2">
        <f>'Data and assumptions'!B48*((B16+B18+B19+B20)/(1-'Data and assumptions'!B48-'Data and assumptions'!B49))</f>
        <v>5.1346665444522398E-2</v>
      </c>
      <c r="C17" t="s">
        <v>188</v>
      </c>
    </row>
    <row r="18" spans="1:3" ht="15.6" x14ac:dyDescent="0.35">
      <c r="A18" t="s">
        <v>315</v>
      </c>
      <c r="B18" s="2">
        <f>'Data and assumptions'!B39*'Data and assumptions'!B31*'Data and assumptions'!B32*1000*'Data and assumptions'!B36/('Data and assumptions'!B38*1000*100)</f>
        <v>0.66115111313039532</v>
      </c>
      <c r="C18" t="s">
        <v>188</v>
      </c>
    </row>
    <row r="19" spans="1:3" ht="15.6" x14ac:dyDescent="0.35">
      <c r="A19" t="s">
        <v>316</v>
      </c>
      <c r="B19" s="2">
        <f>'Data and assumptions'!B46*'Data and assumptions'!B36*'Data and assumptions'!B47*1000/1000</f>
        <v>1.1300865578992056</v>
      </c>
      <c r="C19" t="s">
        <v>188</v>
      </c>
    </row>
    <row r="20" spans="1:3" ht="15.6" x14ac:dyDescent="0.35">
      <c r="A20" t="s">
        <v>317</v>
      </c>
      <c r="B20" s="2">
        <f>('Data and assumptions'!B42*'Data and assumptions'!B44+'Data and assumptions'!B43*'Data and assumptions'!B45)*1000*'Data and assumptions'!B36/('Data and assumptions'!B38*1000)</f>
        <v>0.97676281690140843</v>
      </c>
      <c r="C20" t="s">
        <v>188</v>
      </c>
    </row>
    <row r="21" spans="1:3" ht="15.6" x14ac:dyDescent="0.35">
      <c r="A21" t="s">
        <v>313</v>
      </c>
      <c r="B21" s="2">
        <f>'Data and assumptions'!B49*((B16+B18+B19+B20)/(1-'Data and assumptions'!B48-'Data and assumptions'!B49))</f>
        <v>0.65466998441766056</v>
      </c>
      <c r="C21" t="s">
        <v>188</v>
      </c>
    </row>
    <row r="23" spans="1:3" x14ac:dyDescent="0.3">
      <c r="A23" s="1" t="s">
        <v>318</v>
      </c>
    </row>
    <row r="24" spans="1:3" ht="15.6" x14ac:dyDescent="0.35">
      <c r="A24" t="s">
        <v>308</v>
      </c>
      <c r="B24" s="2">
        <f>SUM(B26:B28)+('Data and assumptions'!B54*'Data and assumptions'!B14*('Data and assumptions'!B3+'Data and assumptions'!B4))</f>
        <v>36.45809672</v>
      </c>
      <c r="C24" t="s">
        <v>188</v>
      </c>
    </row>
    <row r="26" spans="1:3" ht="15.6" x14ac:dyDescent="0.35">
      <c r="A26" t="s">
        <v>319</v>
      </c>
      <c r="B26" s="2">
        <f>('Data and assumptions'!B56*'Data and assumptions'!B52*'Data and assumptions'!B1+'Data and assumptions'!B60*'Data and assumptions'!B53*'Data and assumptions'!B2)*'Data and assumptions'!B14</f>
        <v>0.56751193599999994</v>
      </c>
      <c r="C26" t="s">
        <v>188</v>
      </c>
    </row>
    <row r="27" spans="1:3" ht="15.6" x14ac:dyDescent="0.35">
      <c r="A27" t="s">
        <v>320</v>
      </c>
      <c r="B27" s="2">
        <f>('Data and assumptions'!B57*'Data and assumptions'!B52*'Data and assumptions'!B1+'Data and assumptions'!B61*'Data and assumptions'!B53*'Data and assumptions'!B2)*'Data and assumptions'!B14</f>
        <v>3.5008031360000005</v>
      </c>
      <c r="C27" t="s">
        <v>188</v>
      </c>
    </row>
    <row r="28" spans="1:3" ht="15.6" x14ac:dyDescent="0.35">
      <c r="A28" t="s">
        <v>316</v>
      </c>
      <c r="B28" s="2">
        <f>('Data and assumptions'!B58*'Data and assumptions'!B52*'Data and assumptions'!B1+'Data and assumptions'!B62*'Data and assumptions'!B53*'Data and assumptions'!B2)*'Data and assumptions'!B14</f>
        <v>32.108587327999999</v>
      </c>
      <c r="C28" t="s">
        <v>188</v>
      </c>
    </row>
    <row r="30" spans="1:3" x14ac:dyDescent="0.3">
      <c r="A30" s="1" t="s">
        <v>32</v>
      </c>
    </row>
    <row r="31" spans="1:3" ht="15.6" x14ac:dyDescent="0.35">
      <c r="A31" t="s">
        <v>308</v>
      </c>
      <c r="B31" s="2">
        <f>SUM(B33:B63)</f>
        <v>165.63597999999999</v>
      </c>
      <c r="C31" t="s">
        <v>321</v>
      </c>
    </row>
    <row r="33" spans="1:4" ht="15.6" x14ac:dyDescent="0.35">
      <c r="A33" t="s">
        <v>36</v>
      </c>
      <c r="B33" s="2">
        <f>'Data and assumptions'!B67*'Data and assumptions'!B3</f>
        <v>0.88207999999999998</v>
      </c>
      <c r="C33" t="s">
        <v>188</v>
      </c>
      <c r="D33" s="2"/>
    </row>
    <row r="34" spans="1:4" ht="15.6" x14ac:dyDescent="0.35">
      <c r="A34" t="s">
        <v>38</v>
      </c>
      <c r="B34" s="2">
        <f>'Data and assumptions'!B68*'Data and assumptions'!B4</f>
        <v>1.1668800000000001</v>
      </c>
      <c r="C34" t="s">
        <v>188</v>
      </c>
    </row>
    <row r="35" spans="1:4" ht="15.6" x14ac:dyDescent="0.35">
      <c r="A35" t="s">
        <v>322</v>
      </c>
      <c r="B35" s="2">
        <f>'Data and assumptions'!B5*'Data and assumptions'!B69</f>
        <v>6.3449999999999998</v>
      </c>
      <c r="C35" t="s">
        <v>188</v>
      </c>
    </row>
    <row r="36" spans="1:4" ht="15.6" x14ac:dyDescent="0.35">
      <c r="A36" t="s">
        <v>40</v>
      </c>
      <c r="B36" s="2">
        <f>'Data and assumptions'!B6*'Data and assumptions'!B70</f>
        <v>5.6070000000000002</v>
      </c>
      <c r="C36" t="s">
        <v>188</v>
      </c>
    </row>
    <row r="37" spans="1:4" ht="15.6" x14ac:dyDescent="0.35">
      <c r="A37" t="s">
        <v>41</v>
      </c>
      <c r="B37" s="2">
        <f>'Data and assumptions'!B71*'Data and assumptions'!B8</f>
        <v>0.17170000000000002</v>
      </c>
      <c r="C37" t="s">
        <v>188</v>
      </c>
    </row>
    <row r="38" spans="1:4" ht="15.6" x14ac:dyDescent="0.35">
      <c r="A38" t="s">
        <v>42</v>
      </c>
      <c r="B38" s="2">
        <f>'Data and assumptions'!B72*'Data and assumptions'!B7</f>
        <v>0.9405</v>
      </c>
      <c r="C38" t="s">
        <v>188</v>
      </c>
    </row>
    <row r="39" spans="1:4" ht="15.6" x14ac:dyDescent="0.35">
      <c r="A39" t="s">
        <v>43</v>
      </c>
      <c r="B39" s="2">
        <f>'Data and assumptions'!B73*'Data and assumptions'!B83*'Data and assumptions'!B1</f>
        <v>1.9763200000000001</v>
      </c>
      <c r="C39" t="s">
        <v>188</v>
      </c>
    </row>
    <row r="40" spans="1:4" ht="15.6" x14ac:dyDescent="0.35">
      <c r="A40" t="s">
        <v>323</v>
      </c>
      <c r="B40" s="2">
        <f>'Data and assumptions'!B74*'Data and assumptions'!B9*('Data and assumptions'!B67-'Data and assumptions'!B68)</f>
        <v>8.1499999999999993E-3</v>
      </c>
      <c r="C40" t="s">
        <v>188</v>
      </c>
      <c r="D40" s="2"/>
    </row>
    <row r="41" spans="1:4" ht="15.6" x14ac:dyDescent="0.35">
      <c r="A41" t="s">
        <v>324</v>
      </c>
      <c r="B41" s="2">
        <f>'Data and assumptions'!B75*'Data and assumptions'!B10*('Data and assumptions'!B67-'Data and assumptions'!B68)</f>
        <v>0.72534999999999994</v>
      </c>
      <c r="C41" t="s">
        <v>188</v>
      </c>
    </row>
    <row r="42" spans="1:4" ht="15.6" x14ac:dyDescent="0.35">
      <c r="A42" t="s">
        <v>325</v>
      </c>
      <c r="B42" s="2">
        <f>'Data and assumptions'!B76*(((Calculations!B5+Calculations!F5)/2)/('Data and assumptions'!B13*'Data and assumptions'!B14))/1000</f>
        <v>0</v>
      </c>
      <c r="C42" t="s">
        <v>188</v>
      </c>
    </row>
    <row r="43" spans="1:4" ht="15.6" x14ac:dyDescent="0.35">
      <c r="A43" t="s">
        <v>326</v>
      </c>
      <c r="B43" s="2">
        <f>'Data and assumptions'!B77*((((Calculations!B5+Calculations!F5)/2)*'Data and assumptions'!B84/('Data and assumptions'!B13*'Data and assumptions'!B14*1000))+(Calculations!B24/('Data and assumptions'!B13*'Data and assumptions'!B14*1000)))</f>
        <v>0</v>
      </c>
      <c r="C43" t="s">
        <v>188</v>
      </c>
    </row>
    <row r="44" spans="1:4" ht="15.6" x14ac:dyDescent="0.35">
      <c r="A44" t="s">
        <v>327</v>
      </c>
      <c r="B44" s="2">
        <f>'Data and assumptions'!B78*((((Calculations!B5+Calculations!F5)/2)*'Data and assumptions'!B86/('Data and assumptions'!B13*'Data and assumptions'!B14*1000))+(Calculations!B24/('Data and assumptions'!B13*'Data and assumptions'!B14*1000)))</f>
        <v>0</v>
      </c>
      <c r="C44" t="s">
        <v>188</v>
      </c>
    </row>
    <row r="45" spans="1:4" ht="15.6" x14ac:dyDescent="0.35">
      <c r="A45" t="s">
        <v>328</v>
      </c>
      <c r="B45" s="2">
        <f>'Data and assumptions'!B79*((((Calculations!B5+Calculations!F5)/2)*'Data and assumptions'!B85/('Data and assumptions'!B13*'Data and assumptions'!B14*1000))+(Calculations!B24/('Data and assumptions'!B13*'Data and assumptions'!B14*1000)))</f>
        <v>0</v>
      </c>
      <c r="C45" t="s">
        <v>188</v>
      </c>
    </row>
    <row r="46" spans="1:4" ht="15.6" x14ac:dyDescent="0.35">
      <c r="A46" t="s">
        <v>329</v>
      </c>
      <c r="B46" s="2">
        <f>'Data and assumptions'!B80*((((Calculations!B5+Calculations!F5)/2)*'Data and assumptions'!B84/('Data and assumptions'!B13*'Data and assumptions'!B14*1000)))</f>
        <v>0</v>
      </c>
      <c r="C46" t="s">
        <v>188</v>
      </c>
    </row>
    <row r="47" spans="1:4" ht="15.6" x14ac:dyDescent="0.35">
      <c r="A47" t="s">
        <v>330</v>
      </c>
      <c r="B47" s="2">
        <f>'Data and assumptions'!B81*((((Calculations!B5+Calculations!F5)/2)*'Data and assumptions'!B86/('Data and assumptions'!B13*'Data and assumptions'!B14*1000)))</f>
        <v>0</v>
      </c>
      <c r="C47" t="s">
        <v>188</v>
      </c>
    </row>
    <row r="48" spans="1:4" ht="15.6" x14ac:dyDescent="0.35">
      <c r="A48" t="s">
        <v>331</v>
      </c>
      <c r="B48" s="2">
        <f>'Data and assumptions'!B82*((((Calculations!B5+Calculations!F5)/2)*'Data and assumptions'!B85/('Data and assumptions'!B13*'Data and assumptions'!B14*1000)))</f>
        <v>0</v>
      </c>
      <c r="C48" t="s">
        <v>188</v>
      </c>
    </row>
    <row r="50" spans="1:7" ht="15.6" x14ac:dyDescent="0.35">
      <c r="A50" t="s">
        <v>54</v>
      </c>
      <c r="B50" s="2">
        <f>'Data and assumptions'!E89*'Data and assumptions'!B$65*'Data and assumptions'!B$1+'Data and assumptions'!F89*'Data and assumptions'!B$66*'Data and assumptions'!B$2</f>
        <v>0.50129107505070991</v>
      </c>
      <c r="C50" t="s">
        <v>188</v>
      </c>
      <c r="D50" s="2"/>
      <c r="E50" s="21"/>
      <c r="F50" s="21"/>
      <c r="G50" s="21"/>
    </row>
    <row r="51" spans="1:7" ht="15.6" x14ac:dyDescent="0.35">
      <c r="A51" t="s">
        <v>57</v>
      </c>
      <c r="B51" s="2">
        <f>'Data and assumptions'!E90*'Data and assumptions'!B$65*'Data and assumptions'!B$1+'Data and assumptions'!F90*'Data and assumptions'!B$66*'Data and assumptions'!B$2</f>
        <v>14.349215832710975</v>
      </c>
      <c r="C51" t="s">
        <v>188</v>
      </c>
      <c r="E51" s="21"/>
      <c r="F51" s="21"/>
      <c r="G51" s="21"/>
    </row>
    <row r="52" spans="1:7" ht="15.6" x14ac:dyDescent="0.35">
      <c r="A52" t="s">
        <v>59</v>
      </c>
      <c r="B52" s="2">
        <f>'Data and assumptions'!E91*'Data and assumptions'!B$65*'Data and assumptions'!B$1+'Data and assumptions'!F91*'Data and assumptions'!B$66*'Data and assumptions'!B$2</f>
        <v>4.8787333831217321</v>
      </c>
      <c r="C52" t="s">
        <v>188</v>
      </c>
      <c r="E52" s="21"/>
      <c r="F52" s="21"/>
      <c r="G52" s="21"/>
    </row>
    <row r="53" spans="1:7" ht="15.6" x14ac:dyDescent="0.35">
      <c r="A53" t="s">
        <v>60</v>
      </c>
      <c r="B53" s="2">
        <f>'Data and assumptions'!E92*'Data and assumptions'!B$65*'Data and assumptions'!B$1+'Data and assumptions'!F92*'Data and assumptions'!B$66*'Data and assumptions'!B$2</f>
        <v>51.001212845407004</v>
      </c>
      <c r="C53" t="s">
        <v>188</v>
      </c>
      <c r="E53" s="21"/>
      <c r="F53" s="21"/>
      <c r="G53" s="21"/>
    </row>
    <row r="54" spans="1:7" ht="15.6" x14ac:dyDescent="0.35">
      <c r="A54" t="s">
        <v>61</v>
      </c>
      <c r="B54" s="2">
        <f>'Data and assumptions'!E93*'Data and assumptions'!B$65*'Data and assumptions'!B$1+'Data and assumptions'!F93*'Data and assumptions'!B$66*'Data and assumptions'!B$2</f>
        <v>14.074710953346857</v>
      </c>
      <c r="C54" t="s">
        <v>188</v>
      </c>
      <c r="E54" s="21"/>
      <c r="F54" s="21"/>
      <c r="G54" s="21"/>
    </row>
    <row r="55" spans="1:7" ht="15.6" x14ac:dyDescent="0.35">
      <c r="A55" t="s">
        <v>62</v>
      </c>
      <c r="B55" s="2">
        <f>'Data and assumptions'!E94*'Data and assumptions'!B$65*'Data and assumptions'!B$1+'Data and assumptions'!F94*'Data and assumptions'!B$66*'Data and assumptions'!B$2</f>
        <v>4.0103286004056793</v>
      </c>
      <c r="C55" t="s">
        <v>188</v>
      </c>
      <c r="E55" s="21"/>
      <c r="F55" s="21"/>
      <c r="G55" s="21"/>
    </row>
    <row r="56" spans="1:7" ht="15.6" x14ac:dyDescent="0.35">
      <c r="A56" t="s">
        <v>63</v>
      </c>
      <c r="B56" s="2">
        <f>'Data and assumptions'!E95*'Data and assumptions'!B$65*'Data and assumptions'!B$1+'Data and assumptions'!F95*'Data and assumptions'!B$66*'Data and assumptions'!B$2</f>
        <v>0.38560851926977691</v>
      </c>
      <c r="C56" t="s">
        <v>188</v>
      </c>
      <c r="E56" s="21"/>
      <c r="F56" s="21"/>
      <c r="G56" s="21"/>
    </row>
    <row r="57" spans="1:7" ht="15.6" x14ac:dyDescent="0.35">
      <c r="A57" t="s">
        <v>64</v>
      </c>
      <c r="B57" s="2">
        <f>'Data and assumptions'!E96*'Data and assumptions'!B$65*'Data and assumptions'!B$1+'Data and assumptions'!F96*'Data and assumptions'!B$66*'Data and assumptions'!B$2</f>
        <v>9.6402129817444226E-2</v>
      </c>
      <c r="C57" t="s">
        <v>188</v>
      </c>
      <c r="E57" s="21"/>
      <c r="F57" s="21"/>
      <c r="G57" s="21"/>
    </row>
    <row r="58" spans="1:7" ht="15.6" x14ac:dyDescent="0.35">
      <c r="A58" t="s">
        <v>65</v>
      </c>
      <c r="B58" s="2">
        <f>'Data and assumptions'!E97*'Data and assumptions'!B$65*'Data and assumptions'!B$1+'Data and assumptions'!F97*'Data and assumptions'!B$66*'Data and assumptions'!B$2</f>
        <v>5.1247199402539207</v>
      </c>
      <c r="C58" t="s">
        <v>188</v>
      </c>
      <c r="E58" s="21"/>
      <c r="F58" s="21"/>
      <c r="G58" s="21"/>
    </row>
    <row r="59" spans="1:7" ht="15.6" x14ac:dyDescent="0.35">
      <c r="A59" t="s">
        <v>106</v>
      </c>
      <c r="B59" s="2">
        <f>('Data and assumptions'!E98*'Data and assumptions'!B$65*'Data and assumptions'!B$1+'Data and assumptions'!F98*'Data and assumptions'!B$66*'Data and assumptions'!B$2)+('Data and assumptions'!E99*'Data and assumptions'!B$65*'Data and assumptions'!B$1+'Data and assumptions'!F99*'Data and assumptions'!B$66*'Data and assumptions'!B$2)</f>
        <v>41.95748412426699</v>
      </c>
      <c r="C59" t="s">
        <v>188</v>
      </c>
      <c r="E59" s="21"/>
      <c r="F59" s="21"/>
      <c r="G59" s="21"/>
    </row>
    <row r="60" spans="1:7" ht="15.6" x14ac:dyDescent="0.35">
      <c r="A60" t="s">
        <v>68</v>
      </c>
      <c r="B60" s="2">
        <f>'Data and assumptions'!E100*'Data and assumptions'!B$65*'Data and assumptions'!B$1+'Data and assumptions'!F100*'Data and assumptions'!B$66*'Data and assumptions'!B$2</f>
        <v>3.0848681541582152</v>
      </c>
      <c r="C60" t="s">
        <v>188</v>
      </c>
      <c r="E60" s="21"/>
      <c r="F60" s="21"/>
      <c r="G60" s="21"/>
    </row>
    <row r="61" spans="1:7" ht="15.6" x14ac:dyDescent="0.35">
      <c r="A61" t="s">
        <v>69</v>
      </c>
      <c r="B61" s="2">
        <f>'Data and assumptions'!E101*'Data and assumptions'!B$65*'Data and assumptions'!B$1+'Data and assumptions'!F101*'Data and assumptions'!B$66*'Data and assumptions'!B$2</f>
        <v>3.4126353955375253</v>
      </c>
      <c r="C61" t="s">
        <v>188</v>
      </c>
      <c r="E61" s="21"/>
      <c r="F61" s="21"/>
      <c r="G61" s="21"/>
    </row>
    <row r="62" spans="1:7" ht="15.6" x14ac:dyDescent="0.35">
      <c r="A62" t="s">
        <v>70</v>
      </c>
      <c r="B62" s="2">
        <f>'Data and assumptions'!E102*'Data and assumptions'!B$65*'Data and assumptions'!B$1+'Data and assumptions'!F102*'Data and assumptions'!B$66*'Data and assumptions'!B$2</f>
        <v>2.660698782961461</v>
      </c>
      <c r="C62" t="s">
        <v>188</v>
      </c>
      <c r="E62" s="21"/>
      <c r="F62" s="21"/>
      <c r="G62" s="21"/>
    </row>
    <row r="63" spans="1:7" ht="15.6" x14ac:dyDescent="0.35">
      <c r="A63" t="s">
        <v>71</v>
      </c>
      <c r="B63" s="2">
        <f>'Data and assumptions'!E103*'Data and assumptions'!B$65*'Data and assumptions'!B$1+'Data and assumptions'!F103*'Data and assumptions'!B$66*'Data and assumptions'!B$2</f>
        <v>2.2750902636916837</v>
      </c>
      <c r="C63" t="s">
        <v>188</v>
      </c>
      <c r="E63" s="21"/>
      <c r="F63" s="21"/>
      <c r="G63" s="21"/>
    </row>
    <row r="65" spans="1:10" x14ac:dyDescent="0.3">
      <c r="A65" s="1" t="s">
        <v>179</v>
      </c>
    </row>
    <row r="66" spans="1:10" ht="15.6" x14ac:dyDescent="0.35">
      <c r="A66" s="1"/>
      <c r="B66"/>
      <c r="C66" s="54" t="s">
        <v>188</v>
      </c>
      <c r="D66" s="54"/>
      <c r="E66" s="54"/>
      <c r="F66" s="54"/>
      <c r="G66" s="54"/>
    </row>
    <row r="67" spans="1:10" x14ac:dyDescent="0.3">
      <c r="B67" t="s">
        <v>332</v>
      </c>
      <c r="C67" t="s">
        <v>333</v>
      </c>
      <c r="D67" t="s">
        <v>334</v>
      </c>
      <c r="E67" t="s">
        <v>335</v>
      </c>
      <c r="F67" t="s">
        <v>336</v>
      </c>
      <c r="G67" t="s">
        <v>308</v>
      </c>
    </row>
    <row r="68" spans="1:10" x14ac:dyDescent="0.3">
      <c r="A68" t="s">
        <v>337</v>
      </c>
      <c r="B68" s="2">
        <f>'Data and assumptions'!B117/0.33</f>
        <v>0.69696969696969702</v>
      </c>
      <c r="C68" s="21">
        <f>B68*('Data and assumptions'!B110*'Data and assumptions'!B112/100+(1-'Data and assumptions'!B112/100)*'Data and assumptions'!B109)</f>
        <v>824.23636363636365</v>
      </c>
      <c r="D68" s="21">
        <f>B68*('Data and assumptions'!B114*'Data and assumptions'!B111/100+(1-'Data and assumptions'!B111/100)*1/('Data and assumptions'!B106+1)*'Data and assumptions'!B116+(1-'Data and assumptions'!B111/100)*'Data and assumptions'!B106/(1+'Data and assumptions'!B106)*'Data and assumptions'!B115)</f>
        <v>12.933062185839439</v>
      </c>
      <c r="E68">
        <f>'Data and assumptions'!B113</f>
        <v>1.98</v>
      </c>
      <c r="F68">
        <f>C83+D83+C85+D85+C93+D93+C95+D95+C98+D98</f>
        <v>59.48939665202326</v>
      </c>
      <c r="G68" s="2">
        <f>SUM(C68:F68)</f>
        <v>898.63882247422634</v>
      </c>
      <c r="J68" s="2"/>
    </row>
    <row r="69" spans="1:10" x14ac:dyDescent="0.3">
      <c r="A69" t="s">
        <v>338</v>
      </c>
      <c r="B69" s="2">
        <f>'Data and assumptions'!B118/0.5</f>
        <v>0.6</v>
      </c>
      <c r="C69" s="21">
        <f>B69*('Data and assumptions'!B110*'Data and assumptions'!B112/100+(1-'Data and assumptions'!B112/100)*'Data and assumptions'!B109)</f>
        <v>709.56</v>
      </c>
      <c r="D69" s="21">
        <f>B69*('Data and assumptions'!B114*'Data and assumptions'!B111/100+(1-'Data and assumptions'!B111/100)*1/('Data and assumptions'!B106+1)*'Data and assumptions'!B116+(1-'Data and assumptions'!B111/100)*'Data and assumptions'!B106/(1+'Data and assumptions'!B106)*'Data and assumptions'!B115)</f>
        <v>11.133679620853082</v>
      </c>
      <c r="E69">
        <f>'Data and assumptions'!B113</f>
        <v>1.98</v>
      </c>
      <c r="F69">
        <f>C84+D84+C86+D86+C93+D93+C95+D95+C98+D98</f>
        <v>52.470222682303309</v>
      </c>
      <c r="G69" s="2">
        <f>SUM(C69:F69)</f>
        <v>775.14390230315632</v>
      </c>
      <c r="J69" s="2"/>
    </row>
    <row r="70" spans="1:10" x14ac:dyDescent="0.3">
      <c r="A70" t="s">
        <v>339</v>
      </c>
      <c r="B70" s="2">
        <f>'Data and assumptions'!B119/(0.33*'Data and assumptions'!B121)</f>
        <v>3.2575757575757577E-2</v>
      </c>
      <c r="C70" s="21">
        <f>B70*('Data and assumptions'!B110*'Data and assumptions'!B112/100+(1-'Data and assumptions'!B112/100)*'Data and assumptions'!B109)</f>
        <v>38.524090909090908</v>
      </c>
      <c r="D70" s="21">
        <f>B70*('Data and assumptions'!B114*'Data and assumptions'!B111/100+(1-'Data and assumptions'!B111/100)*1/('Data and assumptions'!B106+1)*'Data and assumptions'!B116+(1-'Data and assumptions'!B111/100)*'Data and assumptions'!B106/(1+'Data and assumptions'!B106)*'Data and assumptions'!B115)</f>
        <v>0.60448008042510415</v>
      </c>
      <c r="E70">
        <f>'Data and assumptions'!B126+'Data and assumptions'!B113</f>
        <v>19.555841255000001</v>
      </c>
      <c r="F70">
        <f>C83+D83+C85+D85+C93+D93+C95+D95+C98+D98</f>
        <v>59.48939665202326</v>
      </c>
      <c r="G70" s="2">
        <f t="shared" ref="G70:G81" si="0">SUM(C70:F70)</f>
        <v>118.17380889653927</v>
      </c>
      <c r="J70" s="2"/>
    </row>
    <row r="71" spans="1:10" x14ac:dyDescent="0.3">
      <c r="A71" t="s">
        <v>340</v>
      </c>
      <c r="B71" s="2">
        <f>'Data and assumptions'!B120/(0.5*'Data and assumptions'!B121)</f>
        <v>2.6142857142857141E-2</v>
      </c>
      <c r="C71" s="21">
        <f>B71*('Data and assumptions'!B110*'Data and assumptions'!B112/100+(1-'Data and assumptions'!B112/100)*'Data and assumptions'!B109)</f>
        <v>30.916542857142854</v>
      </c>
      <c r="D71" s="21">
        <f>B71*('Data and assumptions'!B114*'Data and assumptions'!B111/100+(1-'Data and assumptions'!B111/100)*1/('Data and assumptions'!B106+1)*'Data and assumptions'!B116+(1-'Data and assumptions'!B111/100)*'Data and assumptions'!B106/(1+'Data and assumptions'!B106)*'Data and assumptions'!B115)</f>
        <v>0.48511032633716994</v>
      </c>
      <c r="E71">
        <f>'Data and assumptions'!B126+'Data and assumptions'!B113</f>
        <v>19.555841255000001</v>
      </c>
      <c r="F71">
        <f>C84+D84+C86+D86+C93+D93+C95+D95+C98+D98</f>
        <v>52.470222682303309</v>
      </c>
      <c r="G71" s="2">
        <f t="shared" si="0"/>
        <v>103.42771712078334</v>
      </c>
      <c r="J71" s="2"/>
    </row>
    <row r="72" spans="1:10" x14ac:dyDescent="0.3">
      <c r="A72" t="s">
        <v>341</v>
      </c>
      <c r="B72" s="2">
        <f>'Data and assumptions'!B137/0.33</f>
        <v>3.727272727272727E-2</v>
      </c>
      <c r="C72" s="21">
        <f>B72*('Data and assumptions'!B130*'Data and assumptions'!B132/100+(1-'Data and assumptions'!B132/100)*'Data and assumptions'!B129)</f>
        <v>197.72138181818181</v>
      </c>
      <c r="D72" s="21">
        <f>B72*('Data and assumptions'!B131*'Data and assumptions'!B134/100+(1-'Data and assumptions'!B131/100)*1/('Data and assumptions'!B106+1)*'Data and assumptions'!B136+(1-'Data and assumptions'!B131/100)*'Data and assumptions'!B106/(1+'Data and assumptions'!B106)*'Data and assumptions'!B135)</f>
        <v>0.73043028005170185</v>
      </c>
      <c r="E72">
        <f>'Data and assumptions'!B133</f>
        <v>9</v>
      </c>
      <c r="F72">
        <f>C89+D89+C94+D94+C96+D96+C99+D99</f>
        <v>74.270844432195176</v>
      </c>
      <c r="G72" s="2">
        <f t="shared" si="0"/>
        <v>281.72265653042871</v>
      </c>
      <c r="J72" s="2"/>
    </row>
    <row r="73" spans="1:10" x14ac:dyDescent="0.3">
      <c r="A73" t="s">
        <v>342</v>
      </c>
      <c r="B73" s="2">
        <f>'Data and assumptions'!B138/0.5</f>
        <v>3.2599999999999997E-2</v>
      </c>
      <c r="C73" s="21">
        <f>B73*('Data and assumptions'!B130*'Data and assumptions'!B132/100+(1-'Data and assumptions'!B132/100)*'Data and assumptions'!B129)</f>
        <v>172.93387199999998</v>
      </c>
      <c r="D73" s="21">
        <f>B73*('Data and assumptions'!B131*'Data and assumptions'!B134/100+(1-'Data and assumptions'!B131/100)*1/('Data and assumptions'!B106+1)*'Data and assumptions'!B136+(1-'Data and assumptions'!B131/100)*'Data and assumptions'!B106/(1+'Data and assumptions'!B106)*'Data and assumptions'!B135)</f>
        <v>0.63885926445497632</v>
      </c>
      <c r="E73">
        <f>'Data and assumptions'!B133</f>
        <v>9</v>
      </c>
      <c r="F73">
        <f>C90+D90+C94+D94+C96+D96+C99+D99</f>
        <v>53.425337015047383</v>
      </c>
      <c r="G73" s="2">
        <f t="shared" si="0"/>
        <v>235.99806827950232</v>
      </c>
      <c r="J73" s="2"/>
    </row>
    <row r="74" spans="1:10" x14ac:dyDescent="0.3">
      <c r="A74" t="s">
        <v>343</v>
      </c>
      <c r="B74" s="2">
        <f>'Data and assumptions'!B149/0.33</f>
        <v>7.8272727272727272E-2</v>
      </c>
      <c r="C74" s="21">
        <f>B74*('Data and assumptions'!B142*'Data and assumptions'!B144/100+(1-'Data and assumptions'!B144/100)*'Data and assumptions'!B141)</f>
        <v>189.49827272727273</v>
      </c>
      <c r="D74" s="21">
        <f>B74*('Data and assumptions'!B143*'Data and assumptions'!B146/100+(1-'Data and assumptions'!B143/100)*1/('Data and assumptions'!B106+1)*'Data and assumptions'!B148+(1-'Data and assumptions'!B143/100)*'Data and assumptions'!B106/(1+'Data and assumptions'!B106)*'Data and assumptions'!B147)</f>
        <v>1.5487153106419649</v>
      </c>
      <c r="E74">
        <f>'Data and assumptions'!B145</f>
        <v>9</v>
      </c>
      <c r="F74">
        <f>C91+D91+C94+D94+C96+D96+C99+D99</f>
        <v>41.066550742693515</v>
      </c>
      <c r="G74" s="2">
        <f t="shared" si="0"/>
        <v>241.11353878060822</v>
      </c>
      <c r="J74" s="2"/>
    </row>
    <row r="75" spans="1:10" x14ac:dyDescent="0.3">
      <c r="A75" t="s">
        <v>344</v>
      </c>
      <c r="B75" s="2">
        <f>'Data and assumptions'!B150/0.5</f>
        <v>6.8459999999999993E-2</v>
      </c>
      <c r="C75" s="21">
        <f>B75*('Data and assumptions'!B142*'Data and assumptions'!B144/100+(1-'Data and assumptions'!B144/100)*'Data and assumptions'!B141)</f>
        <v>165.74166</v>
      </c>
      <c r="D75" s="21">
        <f>B75*('Data and assumptions'!B143*'Data and assumptions'!B146/100+(1-'Data and assumptions'!B143/100)*1/('Data and assumptions'!B106+1)*'Data and assumptions'!B148+(1-'Data and assumptions'!B143/100)*'Data and assumptions'!B106/(1+'Data and assumptions'!B106)*'Data and assumptions'!B147)</f>
        <v>1.3545592936492892</v>
      </c>
      <c r="E75">
        <f>'Data and assumptions'!B145</f>
        <v>9</v>
      </c>
      <c r="F75">
        <f>C92+D92+C94+D94+C96+D96+C99+D99</f>
        <v>31.510503179976308</v>
      </c>
      <c r="G75" s="2">
        <f t="shared" si="0"/>
        <v>207.60672247362558</v>
      </c>
      <c r="J75" s="2"/>
    </row>
    <row r="76" spans="1:10" x14ac:dyDescent="0.3">
      <c r="A76" t="s">
        <v>345</v>
      </c>
      <c r="B76" s="2">
        <f>'Data and assumptions'!B151/(20*'Data and assumptions'!B153)</f>
        <v>3.5294117647058825E-3</v>
      </c>
      <c r="C76" s="21">
        <f>B76*('Data and assumptions'!B142*'Data and assumptions'!B144/100+(1-'Data and assumptions'!B144/100)*'Data and assumptions'!B141)</f>
        <v>8.5447058823529414</v>
      </c>
      <c r="D76" s="21">
        <f>(B76*'Data and assumptions'!B146)+('Data and assumptions'!B155*'Data and assumptions'!B1)/(20*'Data and assumptions'!B153)</f>
        <v>5.4678235294117643</v>
      </c>
      <c r="E76">
        <f>'Data and assumptions'!B154</f>
        <v>0.68</v>
      </c>
      <c r="F76">
        <f>C97+D97</f>
        <v>1.6293832000000004</v>
      </c>
      <c r="G76" s="2">
        <f t="shared" si="0"/>
        <v>16.321912611764706</v>
      </c>
      <c r="J76" s="2"/>
    </row>
    <row r="77" spans="1:10" x14ac:dyDescent="0.3">
      <c r="A77" t="s">
        <v>346</v>
      </c>
      <c r="B77" s="2">
        <f>'Data and assumptions'!B152/(30*'Data and assumptions'!B153)</f>
        <v>3.7647058823529408E-3</v>
      </c>
      <c r="C77" s="21">
        <f>B77*('Data and assumptions'!B142*'Data and assumptions'!B144/100+(1-'Data and assumptions'!B144/100)*'Data and assumptions'!B141)</f>
        <v>9.1143529411764703</v>
      </c>
      <c r="D77" s="21">
        <f>(B76*'Data and assumptions'!B146)+('Data and assumptions'!B155*'Data and assumptions'!B1)/(20*'Data and assumptions'!B153)</f>
        <v>5.4678235294117643</v>
      </c>
      <c r="E77">
        <f>'Data and assumptions'!B154</f>
        <v>0.68</v>
      </c>
      <c r="F77">
        <f>C97+D97</f>
        <v>1.6293832000000004</v>
      </c>
      <c r="G77" s="2">
        <f t="shared" si="0"/>
        <v>16.891559670588233</v>
      </c>
      <c r="J77" s="2"/>
    </row>
    <row r="78" spans="1:10" x14ac:dyDescent="0.3">
      <c r="A78" t="s">
        <v>347</v>
      </c>
      <c r="B78" s="2">
        <f>'Data and assumptions'!B167/0.33</f>
        <v>9.0909090909090898E-2</v>
      </c>
      <c r="C78" s="21">
        <f>B78*('Data and assumptions'!B160*'Data and assumptions'!B162/100+(1-'Data and assumptions'!B162/100)*'Data and assumptions'!B159)</f>
        <v>362.27272727272725</v>
      </c>
      <c r="D78" s="21">
        <f>B78*('Data and assumptions'!B161*'Data and assumptions'!B164/100+(1-'Data and assumptions'!B161/100)*1/('Data and assumptions'!B106+1)*'Data and assumptions'!B166+(1-'Data and assumptions'!B161/100)*'Data and assumptions'!B106/(1+'Data and assumptions'!B106)*'Data and assumptions'!B165)</f>
        <v>1.712725549332184</v>
      </c>
      <c r="E78">
        <f>'Data and assumptions'!B163</f>
        <v>1.98</v>
      </c>
      <c r="F78">
        <f>C83+D83+C87+D87+C93+D93+C95+D95+C98+D98</f>
        <v>68.915084953042921</v>
      </c>
      <c r="G78" s="2">
        <f t="shared" si="0"/>
        <v>434.88053777510237</v>
      </c>
      <c r="J78" s="2"/>
    </row>
    <row r="79" spans="1:10" x14ac:dyDescent="0.3">
      <c r="A79" t="s">
        <v>348</v>
      </c>
      <c r="B79" s="2">
        <f>'Data and assumptions'!B168/0.5</f>
        <v>0.11</v>
      </c>
      <c r="C79" s="21">
        <f>B79*('Data and assumptions'!B160*'Data and assumptions'!B162/100+(1-'Data and assumptions'!B162/100)*'Data and assumptions'!B159)</f>
        <v>438.35</v>
      </c>
      <c r="D79" s="21">
        <f>B79*('Data and assumptions'!B161*'Data and assumptions'!B164/100+(1-'Data and assumptions'!B161/100)*1/('Data and assumptions'!B106+1)*'Data and assumptions'!B166+(1-'Data and assumptions'!B161/100)*'Data and assumptions'!B106/(1+'Data and assumptions'!B106)*'Data and assumptions'!B165)</f>
        <v>2.0723979146919431</v>
      </c>
      <c r="E79">
        <f>'Data and assumptions'!B163</f>
        <v>1.98</v>
      </c>
      <c r="F79">
        <f>C84+D84+C88+D88+C93+D93+C95+D95+C98+D98</f>
        <v>58.6911769609763</v>
      </c>
      <c r="G79" s="2">
        <f t="shared" si="0"/>
        <v>501.09357487566825</v>
      </c>
      <c r="J79" s="2"/>
    </row>
    <row r="80" spans="1:10" x14ac:dyDescent="0.3">
      <c r="A80" t="s">
        <v>349</v>
      </c>
      <c r="B80" s="2">
        <f>'Data and assumptions'!B169/20</f>
        <v>5.2500000000000005E-2</v>
      </c>
      <c r="C80" s="21">
        <f>B80*('Data and assumptions'!B160*'Data and assumptions'!B162/100+(1-'Data and assumptions'!B162/100)*'Data and assumptions'!B159)</f>
        <v>209.21250000000003</v>
      </c>
      <c r="D80" s="21">
        <f>B80*'Data and assumptions'!B164</f>
        <v>1.1182500000000002</v>
      </c>
      <c r="E80">
        <f>'Data and assumptions'!B171</f>
        <v>0.68</v>
      </c>
      <c r="F80">
        <f>C97+D97</f>
        <v>1.6293832000000004</v>
      </c>
      <c r="G80" s="2">
        <f t="shared" si="0"/>
        <v>212.64013320000004</v>
      </c>
      <c r="J80" s="2"/>
    </row>
    <row r="81" spans="1:10" x14ac:dyDescent="0.3">
      <c r="A81" t="s">
        <v>350</v>
      </c>
      <c r="B81" s="2">
        <f>'Data and assumptions'!B170/30</f>
        <v>5.3333333333333337E-2</v>
      </c>
      <c r="C81" s="21">
        <f>B81*('Data and assumptions'!B160*'Data and assumptions'!B162/100+(1-'Data and assumptions'!B162/100)*'Data and assumptions'!B159)</f>
        <v>212.53333333333336</v>
      </c>
      <c r="D81" s="21">
        <f>B81*'Data and assumptions'!B164</f>
        <v>1.1360000000000001</v>
      </c>
      <c r="E81">
        <f>'Data and assumptions'!B171</f>
        <v>0.68</v>
      </c>
      <c r="F81">
        <f>C97+D97</f>
        <v>1.6293832000000004</v>
      </c>
      <c r="G81" s="2">
        <f t="shared" si="0"/>
        <v>215.97871653333337</v>
      </c>
      <c r="J81" s="2"/>
    </row>
    <row r="82" spans="1:10" x14ac:dyDescent="0.3">
      <c r="C82" s="21"/>
      <c r="D82" s="21"/>
      <c r="G82" s="2"/>
      <c r="J82" s="2"/>
    </row>
    <row r="83" spans="1:10" x14ac:dyDescent="0.3">
      <c r="A83" t="s">
        <v>351</v>
      </c>
      <c r="C83" s="21">
        <f>((('Data and assumptions'!B174/1000)*(('Data and assumptions'!B175*'Data and assumptions'!B177)+((1-'Data and assumptions'!B175)*'Data and assumptions'!B176)))+('Data and assumptions'!B178*'Data and assumptions'!B179/1000))*(1/0.33)</f>
        <v>3.7442424242424237</v>
      </c>
      <c r="D83" s="21">
        <f>('Data and assumptions'!B174/1000*(((1/('Data and assumptions'!B106+1))*'Data and assumptions'!B181)+(('Data and assumptions'!B106/('Data and assumptions'!B106+1))*'Data and assumptions'!B180)))*(1/0.33)</f>
        <v>2.181706828953037</v>
      </c>
      <c r="G83" s="2"/>
      <c r="J83" s="2"/>
    </row>
    <row r="84" spans="1:10" x14ac:dyDescent="0.3">
      <c r="A84" t="s">
        <v>352</v>
      </c>
      <c r="C84" s="21">
        <f>((('Data and assumptions'!B174/1000)*(('Data and assumptions'!B175*'Data and assumptions'!B177)+((1-'Data and assumptions'!B175)*'Data and assumptions'!B176)))+('Data and assumptions'!B178*'Data and assumptions'!B179/1000))*(1/0.5)</f>
        <v>2.4711999999999996</v>
      </c>
      <c r="D84" s="21">
        <f>('Data and assumptions'!B174/1000*(((1/('Data and assumptions'!B106+1))*'Data and assumptions'!B181)+(('Data and assumptions'!B106/('Data and assumptions'!B106+1))*'Data and assumptions'!B180)))*(1/0.5)</f>
        <v>1.4399265071090044</v>
      </c>
      <c r="G84" s="2"/>
      <c r="J84" s="2"/>
    </row>
    <row r="85" spans="1:10" x14ac:dyDescent="0.3">
      <c r="A85" t="s">
        <v>353</v>
      </c>
      <c r="C85" s="21">
        <f>('Data and assumptions'!B183/1000)*('Data and assumptions'!B142*'Data and assumptions'!B144/100+(1-'Data and assumptions'!B144/100)*'Data and assumptions'!B141)*(1/0.33)</f>
        <v>14.599363636363638</v>
      </c>
      <c r="D85" s="21">
        <f>('Data and assumptions'!B183/1000)*('Data and assumptions'!B143*'Data and assumptions'!B146/100+(1-'Data and assumptions'!B143/100)*1/('Data and assumptions'!B106+1)*'Data and assumptions'!B148+(1-'Data and assumptions'!B143/100)*'Data and assumptions'!B106/(1+'Data and assumptions'!B106)*'Data and assumptions'!B147)*(1/0.33)</f>
        <v>0.11931643314663221</v>
      </c>
      <c r="G85" s="2"/>
      <c r="J85" s="2"/>
    </row>
    <row r="86" spans="1:10" x14ac:dyDescent="0.3">
      <c r="A86" t="s">
        <v>354</v>
      </c>
      <c r="C86" s="21">
        <f>('Data and assumptions'!B183/1000)*('Data and assumptions'!B142*'Data and assumptions'!B144/100+(1-'Data and assumptions'!B144/100)*'Data and assumptions'!B141)*(1/0.5)</f>
        <v>9.6355800000000009</v>
      </c>
      <c r="D86" s="21">
        <f>('Data and assumptions'!B183/1000)*('Data and assumptions'!B143*'Data and assumptions'!B146/100+(1-'Data and assumptions'!B143/100)*1/('Data and assumptions'!B106+1)*'Data and assumptions'!B148+(1-'Data and assumptions'!B143/100)*'Data and assumptions'!B106/(1+'Data and assumptions'!B106)*'Data and assumptions'!B147)*(1/0.5)</f>
        <v>7.874884587677726E-2</v>
      </c>
      <c r="G86" s="2"/>
      <c r="J86" s="2"/>
    </row>
    <row r="87" spans="1:10" x14ac:dyDescent="0.3">
      <c r="A87" t="s">
        <v>355</v>
      </c>
      <c r="C87" s="21">
        <f>('Data and assumptions'!B183/1000)*('Data and assumptions'!B160*'Data and assumptions'!B162/100+(1-'Data and assumptions'!B162/100)*'Data and assumptions'!B159)*(1/0.33)</f>
        <v>24.030757575757576</v>
      </c>
      <c r="D87" s="21">
        <f>('Data and assumptions'!B183/1000)*('Data and assumptions'!B161*'Data and assumptions'!B164/100+(1-'Data and assumptions'!B161/100)*1/('Data and assumptions'!B106+1)*'Data and assumptions'!B166+(1-'Data and assumptions'!B161/100)*'Data and assumptions'!B106/(1+'Data and assumptions'!B106)*'Data and assumptions'!B165)*(1/0.33)</f>
        <v>0.11361079477236821</v>
      </c>
      <c r="G87" s="2"/>
      <c r="J87" s="2"/>
    </row>
    <row r="88" spans="1:10" x14ac:dyDescent="0.3">
      <c r="A88" t="s">
        <v>356</v>
      </c>
      <c r="C88" s="21">
        <f>('Data and assumptions'!B183/1000)*('Data and assumptions'!B160*'Data and assumptions'!B162/100+(1-'Data and assumptions'!B162/100)*'Data and assumptions'!B159)*(1/0.5)</f>
        <v>15.860300000000001</v>
      </c>
      <c r="D88" s="21">
        <f>('Data and assumptions'!B183/1000)*('Data and assumptions'!B161*'Data and assumptions'!B164/100+(1-'Data and assumptions'!B161/100)*1/('Data and assumptions'!B106+1)*'Data and assumptions'!B166+(1-'Data and assumptions'!B161/100)*'Data and assumptions'!B106/(1+'Data and assumptions'!B106)*'Data and assumptions'!B165)*(1/0.5)</f>
        <v>7.4983124549763025E-2</v>
      </c>
      <c r="G88" s="2"/>
      <c r="J88" s="2"/>
    </row>
    <row r="89" spans="1:10" x14ac:dyDescent="0.3">
      <c r="A89" t="s">
        <v>357</v>
      </c>
      <c r="C89" s="21">
        <f>('Data and assumptions'!B184/1000)*('Data and assumptions'!B130*'Data and assumptions'!B132/100+(1-'Data and assumptions'!B132/100)*'Data and assumptions'!B129)*(1/0.33)</f>
        <v>61.084654545454541</v>
      </c>
      <c r="D89" s="21">
        <f>('Data and assumptions'!B184/1000)*('Data and assumptions'!B131*'Data and assumptions'!B134/100+(1-'Data and assumptions'!B131/100)*1/('Data and assumptions'!B106+1)*'Data and assumptions'!B136+(1-'Data and assumptions'!B131/100)*'Data and assumptions'!B106/(1+'Data and assumptions'!B106)*'Data and assumptions'!B135)*(1/0.33)</f>
        <v>0.22566138733304614</v>
      </c>
      <c r="G89" s="2"/>
      <c r="J89" s="2"/>
    </row>
    <row r="90" spans="1:10" x14ac:dyDescent="0.3">
      <c r="A90" t="s">
        <v>358</v>
      </c>
      <c r="C90" s="21">
        <f>('Data and assumptions'!B184/1000)*('Data and assumptions'!B130*'Data and assumptions'!B132/100+(1-'Data and assumptions'!B132/100)*'Data and assumptions'!B129)*(1/0.5)</f>
        <v>40.315871999999999</v>
      </c>
      <c r="D90" s="21">
        <f>('Data and assumptions'!B184/1000)*('Data and assumptions'!B131*'Data and assumptions'!B134/100+(1-'Data and assumptions'!B131/100)*1/('Data and assumptions'!B106+1)*'Data and assumptions'!B136+(1-'Data and assumptions'!B131/100)*'Data and assumptions'!B106/(1+'Data and assumptions'!B106)*'Data and assumptions'!B135)*(1/0.5)</f>
        <v>0.14893651563981045</v>
      </c>
      <c r="G90" s="2"/>
      <c r="J90" s="2"/>
    </row>
    <row r="91" spans="1:10" x14ac:dyDescent="0.3">
      <c r="A91" t="s">
        <v>359</v>
      </c>
      <c r="C91" s="21">
        <f>('Data and assumptions'!B184/1000)*('Data and assumptions'!B142*'Data and assumptions'!B144/100+(1-'Data and assumptions'!B144/100)*'Data and assumptions'!B141)*(1/0.33)</f>
        <v>27.878181818181819</v>
      </c>
      <c r="D91" s="21">
        <f>('Data and assumptions'!B184/1000)*('Data and assumptions'!B143*'Data and assumptions'!B146/100+(1-'Data and assumptions'!B143/100)*1/('Data and assumptions'!B106+1)*'Data and assumptions'!B148+(1-'Data and assumptions'!B143/100)*'Data and assumptions'!B106/(1+'Data and assumptions'!B106)*'Data and assumptions'!B147)*(1/0.33)</f>
        <v>0.22784042510412181</v>
      </c>
      <c r="G91" s="2"/>
      <c r="J91" s="2"/>
    </row>
    <row r="92" spans="1:10" x14ac:dyDescent="0.3">
      <c r="A92" t="s">
        <v>360</v>
      </c>
      <c r="C92" s="21">
        <f>('Data and assumptions'!B184/1000)*('Data and assumptions'!B142*'Data and assumptions'!B144/100+(1-'Data and assumptions'!B144/100)*'Data and assumptions'!B141)*(1/0.5)</f>
        <v>18.3996</v>
      </c>
      <c r="D92" s="21">
        <f>('Data and assumptions'!B184/1000)*('Data and assumptions'!B143*'Data and assumptions'!B146/100+(1-'Data and assumptions'!B143/100)*1/('Data and assumptions'!B106+1)*'Data and assumptions'!B148+(1-'Data and assumptions'!B143/100)*'Data and assumptions'!B106/(1+'Data and assumptions'!B106)*'Data and assumptions'!B147)*(1/0.5)</f>
        <v>0.15037468056872039</v>
      </c>
      <c r="G92" s="2"/>
      <c r="J92" s="2"/>
    </row>
    <row r="93" spans="1:10" x14ac:dyDescent="0.3">
      <c r="A93" t="s">
        <v>361</v>
      </c>
      <c r="C93" s="21">
        <f>((('Data and assumptions'!B185/1000)*(('Data and assumptions'!B175*'Data and assumptions'!B188)+((1-'Data and assumptions'!B175)*'Data and assumptions'!B187))))</f>
        <v>28.090263749999995</v>
      </c>
      <c r="D93" s="21">
        <f>('Data and assumptions'!B185/1000)*('Data and assumptions'!B175*'Data and assumptions'!B182+(1-'Data and assumptions'!B175)*1/('Data and assumptions'!B106+1)*'Data and assumptions'!B181+(1-'Data and assumptions'!B175)*'Data and assumptions'!B106/(1+'Data and assumptions'!B106)*'Data and assumptions'!B180)</f>
        <v>8.682126602488152</v>
      </c>
      <c r="G93" s="2"/>
      <c r="J93" s="2"/>
    </row>
    <row r="94" spans="1:10" x14ac:dyDescent="0.3">
      <c r="A94" t="s">
        <v>362</v>
      </c>
      <c r="C94" s="21">
        <f>((('Data and assumptions'!B186/1000)*(('Data and assumptions'!B175*'Data and assumptions'!B188)+((1-'Data and assumptions'!B175)*'Data and assumptions'!B187))))</f>
        <v>8.6143475499999997</v>
      </c>
      <c r="D94" s="21">
        <f>('Data and assumptions'!B186/1000)*('Data and assumptions'!B175*'Data and assumptions'!B182+(1-'Data and assumptions'!B175)*1/('Data and assumptions'!B106+1)*'Data and assumptions'!B181+(1-'Data and assumptions'!B175)*'Data and assumptions'!B106/(1+'Data and assumptions'!B106)*'Data and assumptions'!B180)</f>
        <v>2.6625188247630334</v>
      </c>
      <c r="G94" s="2"/>
      <c r="J94" s="2"/>
    </row>
    <row r="95" spans="1:10" x14ac:dyDescent="0.3">
      <c r="A95" t="s">
        <v>363</v>
      </c>
      <c r="C95" s="21">
        <f>('Data and assumptions'!B189/1000)*'Data and assumptions'!B198/'Data and assumptions'!B201</f>
        <v>0.37013024</v>
      </c>
      <c r="D95" s="21">
        <f>('Data and assumptions'!B190/(1000*'Data and assumptions'!B201))*'Data and assumptions'!B194</f>
        <v>1.6513280000000002E-2</v>
      </c>
      <c r="G95" s="2"/>
      <c r="J95" s="2"/>
    </row>
    <row r="96" spans="1:10" x14ac:dyDescent="0.3">
      <c r="A96" t="s">
        <v>364</v>
      </c>
      <c r="C96" s="21">
        <f>('Data and assumptions'!B190/1000)*'Data and assumptions'!B198/'Data and assumptions'!B201</f>
        <v>0.24258535999999997</v>
      </c>
      <c r="D96" s="21">
        <f>('Data and assumptions'!B190/(1000*'Data and assumptions'!B201))*'Data and assumptions'!B194</f>
        <v>1.6513280000000002E-2</v>
      </c>
      <c r="G96" s="2"/>
      <c r="J96" s="2"/>
    </row>
    <row r="97" spans="1:10" x14ac:dyDescent="0.3">
      <c r="A97" t="s">
        <v>365</v>
      </c>
      <c r="C97" s="21">
        <f>('Data and assumptions'!B191/1000)*'Data and assumptions'!B198/'Data and assumptions'!B201</f>
        <v>1.5255368000000002</v>
      </c>
      <c r="D97" s="21">
        <f>('Data and assumptions'!B191/(1000*'Data and assumptions'!B201))*'Data and assumptions'!B194</f>
        <v>0.10384640000000001</v>
      </c>
      <c r="G97" s="2"/>
      <c r="J97" s="2"/>
    </row>
    <row r="98" spans="1:10" x14ac:dyDescent="0.3">
      <c r="A98" t="s">
        <v>366</v>
      </c>
      <c r="C98" s="21">
        <f>('Data and assumptions'!B192/1000)*(('Data and assumptions'!B202*'Data and assumptions'!B200)+((1-'Data and assumptions'!B202)*'Data and assumptions'!B199))</f>
        <v>1.6753259399999996</v>
      </c>
      <c r="D98" s="21">
        <f>('Data and assumptions'!B192/1000)*('Data and assumptions'!B202*'Data and assumptions'!B195+(1-'Data and assumptions'!B202)*1/('Data and assumptions'!B106+1)*'Data and assumptions'!B197+(1-'Data and assumptions'!B202)*'Data and assumptions'!B106/(1+'Data and assumptions'!B106)*'Data and assumptions'!B196)</f>
        <v>1.0407516829383885E-2</v>
      </c>
      <c r="G98" s="2"/>
      <c r="J98" s="2"/>
    </row>
    <row r="99" spans="1:10" x14ac:dyDescent="0.3">
      <c r="A99" t="s">
        <v>367</v>
      </c>
      <c r="C99" s="21">
        <f>('Data and assumptions'!B193/1000)*(('Data and assumptions'!B202*'Data and assumptions'!B200)+((1-'Data and assumptions'!B202)*'Data and assumptions'!B199))</f>
        <v>1.4157683999999997</v>
      </c>
      <c r="D99" s="21">
        <f>('Data and assumptions'!B193/1000)*('Data and assumptions'!B202*'Data and assumptions'!B195+(1-'Data and assumptions'!B202)*1/('Data and assumptions'!B106+1)*'Data and assumptions'!B197+(1-'Data and assumptions'!B202)*'Data and assumptions'!B106/(1+'Data and assumptions'!B106)*'Data and assumptions'!B196)</f>
        <v>8.7950846445497624E-3</v>
      </c>
      <c r="G99" s="2"/>
      <c r="J99" s="2"/>
    </row>
    <row r="101" spans="1:10" x14ac:dyDescent="0.3">
      <c r="A101" s="1" t="s">
        <v>72</v>
      </c>
    </row>
    <row r="102" spans="1:10" ht="15.6" x14ac:dyDescent="0.35">
      <c r="A102" s="4" t="s">
        <v>368</v>
      </c>
      <c r="B102" s="5" t="s">
        <v>369</v>
      </c>
      <c r="C102" s="4" t="s">
        <v>370</v>
      </c>
      <c r="D102" s="4" t="s">
        <v>371</v>
      </c>
      <c r="E102" s="4" t="s">
        <v>372</v>
      </c>
      <c r="F102" s="4"/>
    </row>
    <row r="103" spans="1:10" x14ac:dyDescent="0.3">
      <c r="A103" t="s">
        <v>373</v>
      </c>
      <c r="B103" s="2">
        <f>'Data and assumptions'!B14*'Data and assumptions'!B13</f>
        <v>0.2392</v>
      </c>
      <c r="C103">
        <f>'Data and assumptions'!B205</f>
        <v>220</v>
      </c>
      <c r="D103" s="24">
        <v>0</v>
      </c>
      <c r="E103" s="21">
        <f>(B103/1000)*(Calculations!D103*'Data and assumptions'!B$227+C103*(IF('User inputs'!B47="HGV (&gt;17 tonnes)",185.97,IF('User inputs'!B47="HGV (&gt;7.5 tonnes-17 tonnes)",386.55,562.14))))</f>
        <v>9.7864852799999991</v>
      </c>
      <c r="F103" s="21"/>
    </row>
    <row r="104" spans="1:10" x14ac:dyDescent="0.3">
      <c r="A104" t="s">
        <v>374</v>
      </c>
      <c r="B104" s="2">
        <f>'Data and assumptions'!B$36/1000</f>
        <v>2.1800000000000001E-3</v>
      </c>
      <c r="C104">
        <f>'Data and assumptions'!B223</f>
        <v>200</v>
      </c>
      <c r="D104" s="24">
        <f>'Data and assumptions'!B224</f>
        <v>0</v>
      </c>
      <c r="E104" s="21">
        <f>(B104/1000)*(C104*(IF('User inputs'!B49="HGV (&gt;17 tonnes)",185.97,IF('User inputs'!B49="HGV (&gt;7.5 tonnes-17 tonnes)",386.55,562.14)))+Calculations!D104*'Data and assumptions'!B$227)</f>
        <v>8.1082919999999989E-2</v>
      </c>
      <c r="F104" s="21"/>
    </row>
    <row r="105" spans="1:10" x14ac:dyDescent="0.3">
      <c r="A105" t="s">
        <v>375</v>
      </c>
      <c r="B105" s="2">
        <f>'Data and assumptions'!B$36/1000</f>
        <v>2.1800000000000001E-3</v>
      </c>
      <c r="C105">
        <f>'Data and assumptions'!C223</f>
        <v>1685</v>
      </c>
      <c r="D105" s="24">
        <f>'Data and assumptions'!C224</f>
        <v>44</v>
      </c>
      <c r="E105" s="21">
        <f>(B105/1000)*(C105*(IF('User inputs'!B49="HGV (&gt;17 tonnes)",185.97,IF('User inputs'!B49="HGV (&gt;7.5 tonnes-17 tonnes)",386.55,562.14)))+Calculations!D105*'Data and assumptions'!B$227)</f>
        <v>0.6846717497999999</v>
      </c>
      <c r="F105" s="21"/>
    </row>
    <row r="106" spans="1:10" x14ac:dyDescent="0.3">
      <c r="A106" t="s">
        <v>376</v>
      </c>
      <c r="B106" s="2">
        <f>'Data and assumptions'!B$36/1000</f>
        <v>2.1800000000000001E-3</v>
      </c>
      <c r="C106">
        <f>'Data and assumptions'!D223</f>
        <v>4768</v>
      </c>
      <c r="D106" s="24">
        <f>'Data and assumptions'!D224</f>
        <v>7041</v>
      </c>
      <c r="E106" s="21">
        <f>(B106/1000)*(C106*(IF('User inputs'!B49="HGV (&gt;17 tonnes)",185.97,IF('User inputs'!B49="HGV (&gt;7.5 tonnes-17 tonnes)",386.55,562.14)))+Calculations!D106*'Data and assumptions'!B$227)</f>
        <v>2.1807558059999996</v>
      </c>
      <c r="F106" s="21"/>
    </row>
    <row r="107" spans="1:10" x14ac:dyDescent="0.3">
      <c r="A107" t="s">
        <v>377</v>
      </c>
      <c r="B107" s="2">
        <f>'Data and assumptions'!B$36/1000</f>
        <v>2.1800000000000001E-3</v>
      </c>
      <c r="C107">
        <f>'Data and assumptions'!E223</f>
        <v>568</v>
      </c>
      <c r="D107" s="24">
        <f>'Data and assumptions'!E224</f>
        <v>25041</v>
      </c>
      <c r="E107" s="21">
        <f>(B107/1000)*(C107*(IF('User inputs'!B49="HGV (&gt;17 tonnes)",185.97,IF('User inputs'!B49="HGV (&gt;7.5 tonnes-17 tonnes)",386.55,562.14)))+Calculations!D107*'Data and assumptions'!B$227)</f>
        <v>1.111348086</v>
      </c>
      <c r="F107" s="21"/>
    </row>
    <row r="108" spans="1:10" x14ac:dyDescent="0.3">
      <c r="A108" t="s">
        <v>378</v>
      </c>
      <c r="B108" s="2">
        <f>'Data and assumptions'!B14</f>
        <v>0.184</v>
      </c>
      <c r="C108">
        <f>'Data and assumptions'!B206</f>
        <v>200</v>
      </c>
      <c r="D108" s="24">
        <v>0</v>
      </c>
      <c r="E108" s="21">
        <f>(B108/1000)*(C108*(IF('User inputs'!B51="HGV (&gt;17 tonnes)",185.97,IF('User inputs'!B51="HGV (&gt;7.5 tonnes-17 tonnes)",386.55,562.14)))+Calculations!D108*'Data and assumptions'!B$227)</f>
        <v>6.8436960000000004</v>
      </c>
      <c r="F108" s="21"/>
    </row>
    <row r="109" spans="1:10" x14ac:dyDescent="0.3">
      <c r="A109" t="s">
        <v>379</v>
      </c>
      <c r="B109" s="2">
        <f>'Data and assumptions'!B117/0.33+1.06</f>
        <v>1.7569696969696971</v>
      </c>
      <c r="C109">
        <f>'Data and assumptions'!B$218</f>
        <v>200</v>
      </c>
      <c r="D109" s="24">
        <v>0</v>
      </c>
      <c r="E109" s="21">
        <f>(B109/1000)*(C109*(IF('User inputs'!B53="HGV (&gt;17 tonnes)",185.97,IF('User inputs'!B53="HGV (&gt;7.5 tonnes-17 tonnes)",386.55,562.14)))+Calculations!D109*'Data and assumptions'!B$227)</f>
        <v>65.348730909090918</v>
      </c>
      <c r="F109" s="21"/>
    </row>
    <row r="110" spans="1:10" x14ac:dyDescent="0.3">
      <c r="A110" t="s">
        <v>380</v>
      </c>
      <c r="B110" s="2">
        <f>'Data and assumptions'!B118/0.5+1.06</f>
        <v>1.6600000000000001</v>
      </c>
      <c r="C110">
        <f>'Data and assumptions'!B$218</f>
        <v>200</v>
      </c>
      <c r="D110" s="24">
        <v>0</v>
      </c>
      <c r="E110" s="21">
        <f>(B110/1000)*(C110*(IF('User inputs'!B53="HGV (&gt;17 tonnes)",185.97,IF('User inputs'!B53="HGV (&gt;7.5 tonnes-17 tonnes)",386.55,562.14)))+Calculations!D110*'Data and assumptions'!B$227)</f>
        <v>61.74204000000001</v>
      </c>
      <c r="F110" s="21"/>
    </row>
    <row r="111" spans="1:10" x14ac:dyDescent="0.3">
      <c r="A111" t="s">
        <v>381</v>
      </c>
      <c r="B111" s="2">
        <f>'Data and assumptions'!B119/0.33+1.06</f>
        <v>1.9721212121212122</v>
      </c>
      <c r="C111">
        <f>'Data and assumptions'!B$218</f>
        <v>200</v>
      </c>
      <c r="D111" s="24">
        <v>0</v>
      </c>
      <c r="E111" s="21">
        <f>(B111/1000)*(C111*(IF('User inputs'!B53="HGV (&gt;17 tonnes)",185.97,IF('User inputs'!B53="HGV (&gt;7.5 tonnes-17 tonnes)",386.55,562.14)))+Calculations!D111*'Data and assumptions'!B$227)</f>
        <v>73.351076363636366</v>
      </c>
      <c r="F111" s="21"/>
    </row>
    <row r="112" spans="1:10" x14ac:dyDescent="0.3">
      <c r="A112" t="s">
        <v>382</v>
      </c>
      <c r="B112" s="2">
        <f>'Data and assumptions'!B120/0.5+1.06</f>
        <v>1.792</v>
      </c>
      <c r="C112">
        <f>'Data and assumptions'!B$218</f>
        <v>200</v>
      </c>
      <c r="D112" s="24">
        <v>0</v>
      </c>
      <c r="E112" s="21">
        <f>(B112/1000)*(C112*(IF('User inputs'!B53="HGV (&gt;17 tonnes)",185.97,IF('User inputs'!B53="HGV (&gt;7.5 tonnes-17 tonnes)",386.55,562.14)))+Calculations!D112*'Data and assumptions'!B$227)</f>
        <v>66.651647999999994</v>
      </c>
      <c r="F112" s="21"/>
    </row>
    <row r="113" spans="1:6" x14ac:dyDescent="0.3">
      <c r="A113" t="s">
        <v>383</v>
      </c>
      <c r="B113" s="2">
        <f>'Data and assumptions'!B137/0.33+1.06</f>
        <v>1.0972727272727274</v>
      </c>
      <c r="C113">
        <f>'Data and assumptions'!B$218</f>
        <v>200</v>
      </c>
      <c r="D113" s="24">
        <v>0</v>
      </c>
      <c r="E113" s="21">
        <f>(B113/1000)*(C113*(IF('User inputs'!B53="HGV (&gt;17 tonnes)",185.97,IF('User inputs'!B53="HGV (&gt;7.5 tonnes-17 tonnes)",386.55,562.14)))+Calculations!D113*'Data and assumptions'!B$227)</f>
        <v>40.811961818181821</v>
      </c>
      <c r="F113" s="21"/>
    </row>
    <row r="114" spans="1:6" x14ac:dyDescent="0.3">
      <c r="A114" t="s">
        <v>384</v>
      </c>
      <c r="B114" s="2">
        <f>'Data and assumptions'!B138/0.5+1.06</f>
        <v>1.0926</v>
      </c>
      <c r="C114">
        <f>'Data and assumptions'!B$218</f>
        <v>200</v>
      </c>
      <c r="D114" s="24">
        <v>0</v>
      </c>
      <c r="E114" s="21">
        <f>(B114/1000)*(C114*(IF('User inputs'!B53="HGV (&gt;17 tonnes)",185.97,IF('User inputs'!B53="HGV (&gt;7.5 tonnes-17 tonnes)",386.55,562.14)))+Calculations!D114*'Data and assumptions'!B$227)</f>
        <v>40.638164400000001</v>
      </c>
      <c r="F114" s="21"/>
    </row>
    <row r="115" spans="1:6" x14ac:dyDescent="0.3">
      <c r="A115" t="s">
        <v>385</v>
      </c>
      <c r="B115" s="2">
        <f>'Data and assumptions'!B149/0.33+1.06</f>
        <v>1.1382727272727273</v>
      </c>
      <c r="C115">
        <f>'Data and assumptions'!B$218</f>
        <v>200</v>
      </c>
      <c r="D115" s="24">
        <v>0</v>
      </c>
      <c r="E115" s="21">
        <f>(B115/1000)*(C115*(IF('User inputs'!B53="HGV (&gt;17 tonnes)",185.97,IF('User inputs'!B53="HGV (&gt;7.5 tonnes-17 tonnes)",386.55,562.14)))+Calculations!D115*'Data and assumptions'!B$227)</f>
        <v>42.336915818181822</v>
      </c>
      <c r="F115" s="21"/>
    </row>
    <row r="116" spans="1:6" x14ac:dyDescent="0.3">
      <c r="A116" t="s">
        <v>386</v>
      </c>
      <c r="B116" s="2">
        <f>'Data and assumptions'!B150/0.5+1.06</f>
        <v>1.12846</v>
      </c>
      <c r="C116">
        <f>'Data and assumptions'!B$218</f>
        <v>200</v>
      </c>
      <c r="D116" s="24">
        <v>0</v>
      </c>
      <c r="E116" s="21">
        <f>(B116/1000)*(C116*(IF('User inputs'!B53="HGV (&gt;17 tonnes)",185.97,IF('User inputs'!B53="HGV (&gt;7.5 tonnes-17 tonnes)",386.55,562.14)))+Calculations!D116*'Data and assumptions'!B$227)</f>
        <v>41.97194124</v>
      </c>
      <c r="F116" s="21"/>
    </row>
    <row r="117" spans="1:6" x14ac:dyDescent="0.3">
      <c r="A117" t="s">
        <v>387</v>
      </c>
      <c r="B117" s="2">
        <f>'Data and assumptions'!B151/20+1.06</f>
        <v>1.36</v>
      </c>
      <c r="C117">
        <f>'Data and assumptions'!B$218</f>
        <v>200</v>
      </c>
      <c r="D117" s="24">
        <v>0</v>
      </c>
      <c r="E117" s="21">
        <f>(B117/1000)*(C117*(IF('User inputs'!B53="HGV (&gt;17 tonnes)",185.97,IF('User inputs'!B53="HGV (&gt;7.5 tonnes-17 tonnes)",386.55,562.14)))+Calculations!D117*'Data and assumptions'!B$227)</f>
        <v>50.583840000000002</v>
      </c>
      <c r="F117" s="21"/>
    </row>
    <row r="118" spans="1:6" x14ac:dyDescent="0.3">
      <c r="A118" t="s">
        <v>388</v>
      </c>
      <c r="B118" s="2">
        <f>'Data and assumptions'!B152/30+1.06</f>
        <v>1.3800000000000001</v>
      </c>
      <c r="C118">
        <f>'Data and assumptions'!B$218</f>
        <v>200</v>
      </c>
      <c r="D118" s="24">
        <v>0</v>
      </c>
      <c r="E118" s="21">
        <f>(B118/1000)*(C118*(IF('User inputs'!B53="HGV (&gt;17 tonnes)",185.97,IF('User inputs'!B53="HGV (&gt;7.5 tonnes-17 tonnes)",386.55,562.14)))+Calculations!D118*'Data and assumptions'!B$227)</f>
        <v>51.327720000000006</v>
      </c>
      <c r="F118" s="21"/>
    </row>
    <row r="119" spans="1:6" x14ac:dyDescent="0.3">
      <c r="A119" t="s">
        <v>389</v>
      </c>
      <c r="B119" s="2">
        <f>'Data and assumptions'!B167/0.33+1.06</f>
        <v>1.1509090909090909</v>
      </c>
      <c r="C119">
        <f>'Data and assumptions'!B$218</f>
        <v>200</v>
      </c>
      <c r="D119" s="24">
        <v>0</v>
      </c>
      <c r="E119" s="21">
        <f>(B119/1000)*(C119*(IF('User inputs'!B53="HGV (&gt;17 tonnes)",185.97,IF('User inputs'!B53="HGV (&gt;7.5 tonnes-17 tonnes)",386.55,562.14)))+Calculations!D119*'Data and assumptions'!B$227)</f>
        <v>42.806912727272724</v>
      </c>
      <c r="F119" s="21"/>
    </row>
    <row r="120" spans="1:6" x14ac:dyDescent="0.3">
      <c r="A120" t="s">
        <v>390</v>
      </c>
      <c r="B120" s="2">
        <f>'Data and assumptions'!B168/0.5+1.06</f>
        <v>1.1700000000000002</v>
      </c>
      <c r="C120">
        <f>'Data and assumptions'!B$218</f>
        <v>200</v>
      </c>
      <c r="D120" s="24">
        <v>0</v>
      </c>
      <c r="E120" s="21">
        <f>(B120/1000)*(C120*(IF('User inputs'!B53="HGV (&gt;17 tonnes)",185.97,IF('User inputs'!B53="HGV (&gt;7.5 tonnes-17 tonnes)",386.55,562.14)))+Calculations!D120*'Data and assumptions'!B$227)</f>
        <v>43.516980000000011</v>
      </c>
      <c r="F120" s="21"/>
    </row>
    <row r="121" spans="1:6" x14ac:dyDescent="0.3">
      <c r="A121" t="s">
        <v>391</v>
      </c>
      <c r="B121" s="2">
        <f>'Data and assumptions'!B169/20+1.06</f>
        <v>1.1125</v>
      </c>
      <c r="C121">
        <f>'Data and assumptions'!B$218</f>
        <v>200</v>
      </c>
      <c r="D121" s="24">
        <v>0</v>
      </c>
      <c r="E121" s="21">
        <f>(B121/1000)*(C121*(IF('User inputs'!B53="HGV (&gt;17 tonnes)",185.97,IF('User inputs'!B53="HGV (&gt;7.5 tonnes-17 tonnes)",386.55,562.14)))+Calculations!D121*'Data and assumptions'!B$227)</f>
        <v>41.378324999999997</v>
      </c>
      <c r="F121" s="21"/>
    </row>
    <row r="122" spans="1:6" x14ac:dyDescent="0.3">
      <c r="A122" t="s">
        <v>392</v>
      </c>
      <c r="B122" s="2">
        <f>'Data and assumptions'!B170/30+1.06</f>
        <v>1.1133333333333333</v>
      </c>
      <c r="C122">
        <f>'Data and assumptions'!B$218</f>
        <v>200</v>
      </c>
      <c r="D122" s="24">
        <v>0</v>
      </c>
      <c r="E122" s="21">
        <f>(B122/1000)*(C122*(IF('User inputs'!B53="HGV (&gt;17 tonnes)",185.97,IF('User inputs'!B53="HGV (&gt;7.5 tonnes-17 tonnes)",386.55,562.14)))+Calculations!D122*'Data and assumptions'!B$227)</f>
        <v>41.409320000000001</v>
      </c>
      <c r="F122" s="21"/>
    </row>
    <row r="123" spans="1:6" x14ac:dyDescent="0.3">
      <c r="A123" t="s">
        <v>393</v>
      </c>
      <c r="B123" s="2">
        <f>'Data and assumptions'!B70/1000</f>
        <v>1.75E-3</v>
      </c>
      <c r="C123">
        <f>'Data and assumptions'!B208</f>
        <v>200</v>
      </c>
      <c r="D123" s="24">
        <v>0</v>
      </c>
      <c r="E123" s="21">
        <f>(B123/1000)*(C123*(IF('User inputs'!B55="HGV (&gt;17 tonnes)",185.97,IF('User inputs'!B55="HGV (&gt;7.5 tonnes-17 tonnes)",386.55,562.14)))+Calculations!D123*'Data and assumptions'!B$227)</f>
        <v>6.5089499999999995E-2</v>
      </c>
      <c r="F123" s="21"/>
    </row>
    <row r="124" spans="1:6" x14ac:dyDescent="0.3">
      <c r="A124" t="s">
        <v>394</v>
      </c>
      <c r="B124" s="2">
        <f>'Data and assumptions'!B69/1000</f>
        <v>4.4999999999999997E-3</v>
      </c>
      <c r="C124">
        <f>'Data and assumptions'!B209</f>
        <v>200</v>
      </c>
      <c r="D124" s="24">
        <v>0</v>
      </c>
      <c r="E124" s="21">
        <f>(B124/1000)*(C124*(IF('User inputs'!B57="HGV (&gt;17 tonnes)",185.97,IF('User inputs'!B57="HGV (&gt;7.5 tonnes-17 tonnes)",386.55,562.14)))+Calculations!D124*'Data and assumptions'!B$227)</f>
        <v>0.16737299999999997</v>
      </c>
      <c r="F124" s="21"/>
    </row>
    <row r="125" spans="1:6" x14ac:dyDescent="0.3">
      <c r="A125" t="s">
        <v>395</v>
      </c>
      <c r="B125" s="2">
        <f>'Data and assumptions'!B124/1000</f>
        <v>2.65E-3</v>
      </c>
      <c r="C125">
        <f>'Data and assumptions'!B209</f>
        <v>200</v>
      </c>
      <c r="D125" s="24">
        <v>0</v>
      </c>
      <c r="E125" s="21">
        <f>(B125/1000)*(C125*(IF('User inputs'!B57="HGV (&gt;17 tonnes)",185.97,IF('User inputs'!B57="HGV (&gt;7.5 tonnes-17 tonnes)",386.55,562.14)))+Calculations!D125*'Data and assumptions'!B$227)</f>
        <v>9.8564100000000002E-2</v>
      </c>
      <c r="F125" s="21"/>
    </row>
    <row r="126" spans="1:6" x14ac:dyDescent="0.3">
      <c r="A126" t="s">
        <v>396</v>
      </c>
      <c r="B126" s="2">
        <f>'Data and assumptions'!B156/(20*1000)</f>
        <v>4.4999999999999999E-4</v>
      </c>
      <c r="C126">
        <f>'Data and assumptions'!B209</f>
        <v>200</v>
      </c>
      <c r="D126" s="24">
        <v>0</v>
      </c>
      <c r="E126" s="21">
        <f>(B126/1000)*(C126*(IF('User inputs'!B57="HGV (&gt;17 tonnes)",185.97,IF('User inputs'!B57="HGV (&gt;7.5 tonnes-17 tonnes)",386.55,562.14)))+Calculations!D126*'Data and assumptions'!B$227)</f>
        <v>1.67373E-2</v>
      </c>
      <c r="F126" s="21"/>
    </row>
    <row r="127" spans="1:6" x14ac:dyDescent="0.3">
      <c r="A127" t="s">
        <v>397</v>
      </c>
      <c r="B127" s="2">
        <f>'Data and assumptions'!B156/(30*1000)</f>
        <v>2.9999999999999997E-4</v>
      </c>
      <c r="C127">
        <f>'Data and assumptions'!B209</f>
        <v>200</v>
      </c>
      <c r="D127" s="24">
        <v>0</v>
      </c>
      <c r="E127" s="21">
        <f>(B127/1000)*(C127*(IF('User inputs'!B57="HGV (&gt;17 tonnes)",185.97,IF('User inputs'!B57="HGV (&gt;7.5 tonnes-17 tonnes)",386.55,562.14)))+Calculations!D127*'Data and assumptions'!B$227)</f>
        <v>1.11582E-2</v>
      </c>
      <c r="F127" s="21"/>
    </row>
    <row r="128" spans="1:6" x14ac:dyDescent="0.3">
      <c r="A128" t="s">
        <v>398</v>
      </c>
      <c r="B128" s="2">
        <f>'Data and assumptions'!B72/1000</f>
        <v>5.5000000000000003E-4</v>
      </c>
      <c r="C128">
        <f>'Data and assumptions'!B210</f>
        <v>200</v>
      </c>
      <c r="D128" s="24">
        <v>0</v>
      </c>
      <c r="E128" s="21">
        <f>(B128/1000)*(C128*(IF('User inputs'!B59="HGV (&gt;17 tonnes)",185.97,IF('User inputs'!B59="HGV (&gt;7.5 tonnes-17 tonnes)",386.55,562.14)))+Calculations!D128*'Data and assumptions'!B$227)</f>
        <v>2.0456700000000001E-2</v>
      </c>
      <c r="F128" s="21"/>
    </row>
    <row r="129" spans="1:6" x14ac:dyDescent="0.3">
      <c r="A129" t="s">
        <v>399</v>
      </c>
      <c r="B129" s="2">
        <f>'Data and assumptions'!B71/1000</f>
        <v>1.6999999999999999E-3</v>
      </c>
      <c r="C129">
        <f>'Data and assumptions'!B211</f>
        <v>200</v>
      </c>
      <c r="D129" s="24">
        <v>0</v>
      </c>
      <c r="E129" s="21">
        <f>(B129/1000)*(C129*(IF('User inputs'!B61="HGV (&gt;17 tonnes)",185.97,IF('User inputs'!B61="HGV (&gt;7.5 tonnes-17 tonnes)",386.55,562.14)))+Calculations!D129*'Data and assumptions'!B$227)</f>
        <v>6.3229799999999989E-2</v>
      </c>
      <c r="F129" s="21"/>
    </row>
    <row r="130" spans="1:6" x14ac:dyDescent="0.3">
      <c r="A130" t="s">
        <v>400</v>
      </c>
      <c r="B130">
        <f>'Data and assumptions'!B73/1000</f>
        <v>2.5600000000000001E-2</v>
      </c>
      <c r="C130">
        <f>'Data and assumptions'!B212</f>
        <v>200</v>
      </c>
      <c r="D130" s="24">
        <v>0</v>
      </c>
      <c r="E130" s="21">
        <f>(B130/1000)*(C130*(IF('User inputs'!B62="HGV (&gt;17 tonnes)",185.97,IF('User inputs'!B62="HGV (&gt;7.5 tonnes-17 tonnes)",386.55,562.14)))+Calculations!D130*'Data and assumptions'!B$227)</f>
        <v>2.8781568000000002</v>
      </c>
    </row>
    <row r="131" spans="1:6" x14ac:dyDescent="0.3">
      <c r="A131" t="s">
        <v>44</v>
      </c>
      <c r="B131">
        <f>'Data and assumptions'!B74/1000</f>
        <v>5.0000000000000001E-4</v>
      </c>
      <c r="C131">
        <f>'Data and assumptions'!B213</f>
        <v>200</v>
      </c>
      <c r="D131" s="24">
        <v>0</v>
      </c>
      <c r="E131" s="21">
        <f>(B131/1000)*(C131*(IF('User inputs'!B63="HGV (&gt;17 tonnes)",185.97,IF('User inputs'!B63="HGV (&gt;7.5 tonnes-17 tonnes)",386.55,562.14)))+Calculations!D131*'Data and assumptions'!B$227)</f>
        <v>1.8596999999999999E-2</v>
      </c>
    </row>
    <row r="132" spans="1:6" x14ac:dyDescent="0.3">
      <c r="A132" t="s">
        <v>46</v>
      </c>
      <c r="B132">
        <f>'Data and assumptions'!B75/1000</f>
        <v>5.0000000000000001E-4</v>
      </c>
      <c r="C132">
        <f>'Data and assumptions'!B214</f>
        <v>200</v>
      </c>
      <c r="D132" s="24">
        <v>0</v>
      </c>
      <c r="E132" s="21">
        <f>(B132/1000)*(C132*(IF('User inputs'!B64="HGV (&gt;17 tonnes)",185.97,IF('User inputs'!B64="HGV (&gt;7.5 tonnes-17 tonnes)",386.55,562.14)))+Calculations!D132*'Data and assumptions'!B$227)</f>
        <v>5.6214E-2</v>
      </c>
    </row>
    <row r="133" spans="1:6" x14ac:dyDescent="0.3">
      <c r="A133" t="s">
        <v>47</v>
      </c>
      <c r="B133">
        <f>'Data and assumptions'!B76/1000</f>
        <v>0</v>
      </c>
      <c r="C133">
        <f>'Data and assumptions'!B205</f>
        <v>220</v>
      </c>
      <c r="D133" s="24">
        <v>0</v>
      </c>
      <c r="E133" s="21">
        <f>(B133/1000)*(C133*(IF('User inputs'!B65="HGV (&gt;17 tonnes)",185.97,IF('User inputs'!B65="HGV (&gt;7.5 tonnes-17 tonnes)",386.55,562.14)))+Calculations!D133*'Data and assumptions'!B$227)</f>
        <v>0</v>
      </c>
    </row>
    <row r="134" spans="1:6" x14ac:dyDescent="0.3">
      <c r="A134" t="s">
        <v>48</v>
      </c>
      <c r="B134">
        <f>'Data and assumptions'!B77/1000</f>
        <v>0</v>
      </c>
      <c r="C134">
        <f>'Data and assumptions'!B206+'Data and assumptions'!B215</f>
        <v>400</v>
      </c>
      <c r="D134" s="24">
        <v>0</v>
      </c>
      <c r="E134" s="21">
        <f>(B134/1000)*(C134*(IF('User inputs'!B66="HGV (&gt;17 tonnes)",185.97,IF('User inputs'!B66="HGV (&gt;7.5 tonnes-17 tonnes)",386.55,562.14)))+Calculations!D134*'Data and assumptions'!B$227)</f>
        <v>0</v>
      </c>
    </row>
    <row r="135" spans="1:6" x14ac:dyDescent="0.3">
      <c r="A135" t="s">
        <v>49</v>
      </c>
      <c r="B135">
        <f>'Data and assumptions'!B78/1000</f>
        <v>0</v>
      </c>
      <c r="C135">
        <f>'Data and assumptions'!B206+'Data and assumptions'!B216</f>
        <v>400</v>
      </c>
      <c r="D135" s="24">
        <v>0</v>
      </c>
      <c r="E135" s="21">
        <f>(B135/1000)*(C135*(IF('User inputs'!B67="HGV (&gt;17 tonnes)",185.97,IF('User inputs'!B67="HGV (&gt;7.5 tonnes-17 tonnes)",386.55,562.14)))+Calculations!D135*'Data and assumptions'!B$227)</f>
        <v>0</v>
      </c>
    </row>
    <row r="136" spans="1:6" x14ac:dyDescent="0.3">
      <c r="A136" t="s">
        <v>50</v>
      </c>
      <c r="B136">
        <f>'Data and assumptions'!B79/1000</f>
        <v>0</v>
      </c>
      <c r="C136">
        <f>'Data and assumptions'!B206+'Data and assumptions'!B217</f>
        <v>400</v>
      </c>
      <c r="D136" s="24">
        <v>0</v>
      </c>
      <c r="E136" s="21">
        <f>(B136/1000)*(C136*(IF('User inputs'!B68="HGV (&gt;17 tonnes)",185.97,IF('User inputs'!B68="HGV (&gt;7.5 tonnes-17 tonnes)",386.55,562.14)))+Calculations!D136*'Data and assumptions'!B$227)</f>
        <v>0</v>
      </c>
    </row>
    <row r="137" spans="1:6" x14ac:dyDescent="0.3">
      <c r="A137" t="s">
        <v>51</v>
      </c>
      <c r="B137">
        <f>'Data and assumptions'!B80/1000</f>
        <v>0</v>
      </c>
      <c r="C137">
        <f>'Data and assumptions'!B215</f>
        <v>200</v>
      </c>
      <c r="D137" s="24">
        <v>0</v>
      </c>
      <c r="E137" s="21">
        <f>(B137/1000)*(C137*(IF('User inputs'!B69="HGV (&gt;17 tonnes)",185.97,IF('User inputs'!B69="HGV (&gt;7.5 tonnes-17 tonnes)",386.55,562.14)))+Calculations!D137*'Data and assumptions'!B$227)</f>
        <v>0</v>
      </c>
    </row>
    <row r="138" spans="1:6" x14ac:dyDescent="0.3">
      <c r="A138" t="s">
        <v>52</v>
      </c>
      <c r="B138">
        <f>'Data and assumptions'!B81/1000</f>
        <v>0</v>
      </c>
      <c r="C138">
        <f>'Data and assumptions'!B216</f>
        <v>200</v>
      </c>
      <c r="D138" s="24">
        <v>0</v>
      </c>
      <c r="E138" s="21">
        <f>(B138/1000)*(C138*(IF('User inputs'!B70="HGV (&gt;17 tonnes)",185.97,IF('User inputs'!B70="HGV (&gt;7.5 tonnes-17 tonnes)",386.55,562.14)))+Calculations!D138*'Data and assumptions'!B$227)</f>
        <v>0</v>
      </c>
    </row>
    <row r="139" spans="1:6" x14ac:dyDescent="0.3">
      <c r="A139" t="s">
        <v>53</v>
      </c>
      <c r="B139">
        <f>'Data and assumptions'!B82/1000</f>
        <v>0</v>
      </c>
      <c r="C139">
        <f>'Data and assumptions'!B217</f>
        <v>200</v>
      </c>
      <c r="D139" s="24">
        <v>0</v>
      </c>
      <c r="E139" s="21">
        <f>(B139/1000)*(C139*(IF('User inputs'!B71="HGV (&gt;17 tonnes)",185.97,IF('User inputs'!B71="HGV (&gt;7.5 tonnes-17 tonnes)",386.55,562.14)))+Calculations!D139*'Data and assumptions'!B$227)</f>
        <v>0</v>
      </c>
    </row>
    <row r="140" spans="1:6" x14ac:dyDescent="0.3">
      <c r="A140" t="s">
        <v>401</v>
      </c>
      <c r="B140" s="2">
        <f>'Data and assumptions'!B117/0.33</f>
        <v>0.69696969696969702</v>
      </c>
      <c r="C140">
        <f>'Data and assumptions'!B207</f>
        <v>200</v>
      </c>
      <c r="D140" s="24">
        <v>0</v>
      </c>
      <c r="E140" s="21">
        <f>(B140/1000)*(C140*(IF('User inputs'!B63="HGV (&gt;17 tonnes)",185.97,IF('User inputs'!B63="HGV (&gt;7.5 tonnes-17 tonnes)",386.55,562.14)))+Calculations!D140*'Data and assumptions'!B$227)</f>
        <v>25.923090909090909</v>
      </c>
      <c r="F140" s="21"/>
    </row>
    <row r="141" spans="1:6" x14ac:dyDescent="0.3">
      <c r="A141" t="s">
        <v>402</v>
      </c>
      <c r="B141" s="2">
        <f>'Data and assumptions'!B118/0.5</f>
        <v>0.6</v>
      </c>
      <c r="C141">
        <f>'Data and assumptions'!B207</f>
        <v>200</v>
      </c>
      <c r="D141" s="24">
        <v>0</v>
      </c>
      <c r="E141" s="21">
        <f>(B141/1000)*(C141*(IF('User inputs'!B63="HGV (&gt;17 tonnes)",185.97,IF('User inputs'!B63="HGV (&gt;7.5 tonnes-17 tonnes)",386.55,562.14)))+Calculations!D141*'Data and assumptions'!B$227)</f>
        <v>22.316399999999998</v>
      </c>
      <c r="F141" s="21"/>
    </row>
    <row r="142" spans="1:6" x14ac:dyDescent="0.3">
      <c r="A142" t="s">
        <v>403</v>
      </c>
      <c r="B142" s="2">
        <f>'Data and assumptions'!B119/(0.33*'Data and assumptions'!B121)</f>
        <v>3.2575757575757577E-2</v>
      </c>
      <c r="C142">
        <f>'Data and assumptions'!B207</f>
        <v>200</v>
      </c>
      <c r="D142" s="24">
        <v>0</v>
      </c>
      <c r="E142" s="21">
        <f>(B142/1000)*(C142*(IF('User inputs'!B63="HGV (&gt;17 tonnes)",185.97,IF('User inputs'!B63="HGV (&gt;7.5 tonnes-17 tonnes)",386.55,562.14)))+Calculations!D142*'Data and assumptions'!B$227)</f>
        <v>1.2116227272727274</v>
      </c>
      <c r="F142" s="21"/>
    </row>
    <row r="143" spans="1:6" x14ac:dyDescent="0.3">
      <c r="A143" t="s">
        <v>404</v>
      </c>
      <c r="B143" s="2">
        <f>'Data and assumptions'!B120/(0.5*'Data and assumptions'!B121)</f>
        <v>2.6142857142857141E-2</v>
      </c>
      <c r="C143">
        <f>'Data and assumptions'!B207</f>
        <v>200</v>
      </c>
      <c r="D143" s="24">
        <v>0</v>
      </c>
      <c r="E143" s="21">
        <f>(B143/1000)*(C143*(IF('User inputs'!B63="HGV (&gt;17 tonnes)",185.97,IF('User inputs'!B63="HGV (&gt;7.5 tonnes-17 tonnes)",386.55,562.14)))+Calculations!D143*'Data and assumptions'!B$227)</f>
        <v>0.97235742857142848</v>
      </c>
      <c r="F143" s="21"/>
    </row>
    <row r="144" spans="1:6" x14ac:dyDescent="0.3">
      <c r="A144" t="s">
        <v>405</v>
      </c>
      <c r="B144" s="2">
        <f>'Data and assumptions'!B137/0.33</f>
        <v>3.727272727272727E-2</v>
      </c>
      <c r="C144">
        <f>'Data and assumptions'!B207</f>
        <v>200</v>
      </c>
      <c r="D144" s="24">
        <v>0</v>
      </c>
      <c r="E144" s="21">
        <f>(B144/1000)*(C144*(IF('User inputs'!B63="HGV (&gt;17 tonnes)",185.97,IF('User inputs'!B63="HGV (&gt;7.5 tonnes-17 tonnes)",386.55,562.14)))+Calculations!D144*'Data and assumptions'!B$227)</f>
        <v>1.386321818181818</v>
      </c>
      <c r="F144" s="21"/>
    </row>
    <row r="145" spans="1:6" x14ac:dyDescent="0.3">
      <c r="A145" t="s">
        <v>406</v>
      </c>
      <c r="B145" s="2">
        <f>'Data and assumptions'!B138/0.5</f>
        <v>3.2599999999999997E-2</v>
      </c>
      <c r="C145">
        <f>'Data and assumptions'!B207</f>
        <v>200</v>
      </c>
      <c r="D145" s="24">
        <v>0</v>
      </c>
      <c r="E145" s="21">
        <f>(B145/1000)*(C145*(IF('User inputs'!B63="HGV (&gt;17 tonnes)",185.97,IF('User inputs'!B63="HGV (&gt;7.5 tonnes-17 tonnes)",386.55,562.14)))+Calculations!D145*'Data and assumptions'!B$227)</f>
        <v>1.2125243999999999</v>
      </c>
      <c r="F145" s="21"/>
    </row>
    <row r="146" spans="1:6" x14ac:dyDescent="0.3">
      <c r="A146" t="s">
        <v>407</v>
      </c>
      <c r="B146" s="2">
        <f>'Data and assumptions'!B149/0.33</f>
        <v>7.8272727272727272E-2</v>
      </c>
      <c r="C146">
        <f>'Data and assumptions'!B207</f>
        <v>200</v>
      </c>
      <c r="D146" s="24">
        <v>0</v>
      </c>
      <c r="E146" s="21">
        <f>(B146/1000)*(C146*(IF('User inputs'!B63="HGV (&gt;17 tonnes)",185.97,IF('User inputs'!B63="HGV (&gt;7.5 tonnes-17 tonnes)",386.55,562.14)))+Calculations!D146*'Data and assumptions'!B$227)</f>
        <v>2.9112758181818181</v>
      </c>
      <c r="F146" s="21"/>
    </row>
    <row r="147" spans="1:6" x14ac:dyDescent="0.3">
      <c r="A147" t="s">
        <v>408</v>
      </c>
      <c r="B147" s="2">
        <f>'Data and assumptions'!B150/0.5</f>
        <v>6.8459999999999993E-2</v>
      </c>
      <c r="C147">
        <f>'Data and assumptions'!B207</f>
        <v>200</v>
      </c>
      <c r="D147" s="24">
        <v>0</v>
      </c>
      <c r="E147" s="21">
        <f>(B147/1000)*(C147*(IF('User inputs'!B63="HGV (&gt;17 tonnes)",185.97,IF('User inputs'!B63="HGV (&gt;7.5 tonnes-17 tonnes)",386.55,562.14)))+Calculations!D147*'Data and assumptions'!B$227)</f>
        <v>2.5463012399999996</v>
      </c>
      <c r="F147" s="21"/>
    </row>
    <row r="148" spans="1:6" x14ac:dyDescent="0.3">
      <c r="A148" t="s">
        <v>409</v>
      </c>
      <c r="B148" s="2">
        <f>'Data and assumptions'!B151/(20*'Data and assumptions'!B153)</f>
        <v>3.5294117647058825E-3</v>
      </c>
      <c r="C148">
        <f>'Data and assumptions'!B207</f>
        <v>200</v>
      </c>
      <c r="D148" s="24">
        <v>0</v>
      </c>
      <c r="E148" s="21">
        <f>(B148/1000)*(C148*(IF('User inputs'!B63="HGV (&gt;17 tonnes)",185.97,IF('User inputs'!B63="HGV (&gt;7.5 tonnes-17 tonnes)",386.55,562.14)))+Calculations!D148*'Data and assumptions'!B$227)</f>
        <v>0.13127294117647059</v>
      </c>
      <c r="F148" s="21"/>
    </row>
    <row r="149" spans="1:6" x14ac:dyDescent="0.3">
      <c r="A149" t="s">
        <v>410</v>
      </c>
      <c r="B149" s="2">
        <f>'Data and assumptions'!B152/(30*'Data and assumptions'!B153)</f>
        <v>3.7647058823529408E-3</v>
      </c>
      <c r="C149">
        <f>'Data and assumptions'!B207</f>
        <v>200</v>
      </c>
      <c r="D149" s="24">
        <v>0</v>
      </c>
      <c r="E149" s="21">
        <f>(B149/1000)*(C149*(IF('User inputs'!B63="HGV (&gt;17 tonnes)",185.97,IF('User inputs'!B63="HGV (&gt;7.5 tonnes-17 tonnes)",386.55,562.14)))+Calculations!D149*'Data and assumptions'!B$227)</f>
        <v>0.14002447058823528</v>
      </c>
      <c r="F149" s="21"/>
    </row>
    <row r="150" spans="1:6" x14ac:dyDescent="0.3">
      <c r="A150" t="s">
        <v>411</v>
      </c>
      <c r="B150" s="2">
        <f>'Data and assumptions'!B167/0.33</f>
        <v>9.0909090909090898E-2</v>
      </c>
      <c r="C150">
        <f>'Data and assumptions'!B207</f>
        <v>200</v>
      </c>
      <c r="D150" s="24">
        <v>0</v>
      </c>
      <c r="E150" s="21">
        <f>(B150/1000)*(C150*(IF('User inputs'!B63="HGV (&gt;17 tonnes)",185.97,IF('User inputs'!B63="HGV (&gt;7.5 tonnes-17 tonnes)",386.55,562.14)))+Calculations!D150*'Data and assumptions'!B$227)</f>
        <v>3.381272727272727</v>
      </c>
      <c r="F150" s="21"/>
    </row>
    <row r="151" spans="1:6" x14ac:dyDescent="0.3">
      <c r="A151" t="s">
        <v>412</v>
      </c>
      <c r="B151" s="2">
        <f>'Data and assumptions'!B168/0.5</f>
        <v>0.11</v>
      </c>
      <c r="C151">
        <f>'Data and assumptions'!B207</f>
        <v>200</v>
      </c>
      <c r="D151" s="24">
        <v>0</v>
      </c>
      <c r="E151" s="21">
        <f>(B151/1000)*(C151*(IF('User inputs'!B63="HGV (&gt;17 tonnes)",185.97,IF('User inputs'!B63="HGV (&gt;7.5 tonnes-17 tonnes)",386.55,562.14)))+Calculations!D151*'Data and assumptions'!B$227)</f>
        <v>4.0913399999999998</v>
      </c>
      <c r="F151" s="21"/>
    </row>
    <row r="152" spans="1:6" x14ac:dyDescent="0.3">
      <c r="A152" t="s">
        <v>413</v>
      </c>
      <c r="B152" s="2">
        <f>'Data and assumptions'!B169/20</f>
        <v>5.2500000000000005E-2</v>
      </c>
      <c r="C152">
        <f>'Data and assumptions'!B207</f>
        <v>200</v>
      </c>
      <c r="D152" s="24">
        <v>0</v>
      </c>
      <c r="E152" s="21">
        <f>(B152/1000)*(C152*(IF('User inputs'!B63="HGV (&gt;17 tonnes)",185.97,IF('User inputs'!B63="HGV (&gt;7.5 tonnes-17 tonnes)",386.55,562.14)))+Calculations!D152*'Data and assumptions'!B$227)</f>
        <v>1.952685</v>
      </c>
      <c r="F152" s="21"/>
    </row>
    <row r="153" spans="1:6" x14ac:dyDescent="0.3">
      <c r="A153" t="s">
        <v>414</v>
      </c>
      <c r="B153" s="2">
        <f>'Data and assumptions'!B170/30</f>
        <v>5.3333333333333337E-2</v>
      </c>
      <c r="C153">
        <f>'Data and assumptions'!B207</f>
        <v>200</v>
      </c>
      <c r="D153" s="24">
        <v>0</v>
      </c>
      <c r="E153" s="21">
        <f>(B153/1000)*(C153*(IF('User inputs'!B63="HGV (&gt;17 tonnes)",185.97,IF('User inputs'!B63="HGV (&gt;7.5 tonnes-17 tonnes)",386.55,562.14)))+Calculations!D153*'Data and assumptions'!B$227)</f>
        <v>1.9836800000000003</v>
      </c>
      <c r="F153" s="21"/>
    </row>
    <row r="154" spans="1:6" x14ac:dyDescent="0.3">
      <c r="D154" s="24"/>
      <c r="E154" s="21"/>
      <c r="F154" s="21"/>
    </row>
    <row r="155" spans="1:6" x14ac:dyDescent="0.3">
      <c r="A155" s="1" t="s">
        <v>293</v>
      </c>
    </row>
    <row r="156" spans="1:6" ht="15.6" x14ac:dyDescent="0.35">
      <c r="A156" s="1"/>
      <c r="B156" s="5" t="s">
        <v>415</v>
      </c>
      <c r="C156" s="4" t="s">
        <v>416</v>
      </c>
    </row>
    <row r="157" spans="1:6" x14ac:dyDescent="0.3">
      <c r="A157" t="s">
        <v>379</v>
      </c>
      <c r="B157" s="2">
        <f>('Data and assumptions'!B230*'Data and assumptions'!B231*'Data and assumptions'!B232*24*'Data and assumptions'!B1)/(1-'Data and assumptions'!B236/100)</f>
        <v>2.5934375000000003</v>
      </c>
      <c r="C157">
        <f>('Data and assumptions'!B233*24*'Data and assumptions'!B234*'Data and assumptions'!B1)/((1-'Data and assumptions'!B236/100)*'Data and assumptions'!B235)</f>
        <v>28.950000000000003</v>
      </c>
    </row>
    <row r="158" spans="1:6" x14ac:dyDescent="0.3">
      <c r="A158" t="s">
        <v>380</v>
      </c>
      <c r="B158" s="2">
        <f>('Data and assumptions'!B230*'Data and assumptions'!B231*'Data and assumptions'!B232*24*'Data and assumptions'!B1)/(1-'Data and assumptions'!B236/100)</f>
        <v>2.5934375000000003</v>
      </c>
      <c r="C158">
        <f>('Data and assumptions'!B233*24*'Data and assumptions'!B234*'Data and assumptions'!B1)/((1-'Data and assumptions'!B236/100)*'Data and assumptions'!B235)</f>
        <v>28.950000000000003</v>
      </c>
    </row>
    <row r="159" spans="1:6" x14ac:dyDescent="0.3">
      <c r="A159" t="s">
        <v>381</v>
      </c>
      <c r="B159" s="2">
        <f>('Data and assumptions'!B230*'Data and assumptions'!B231*'Data and assumptions'!B232*24*'Data and assumptions'!B1)/(1-'Data and assumptions'!B236/100)</f>
        <v>2.5934375000000003</v>
      </c>
      <c r="C159">
        <f>('Data and assumptions'!B233*24*'Data and assumptions'!B234*'Data and assumptions'!B1)/((1-'Data and assumptions'!B236/100)*'Data and assumptions'!B235)</f>
        <v>28.950000000000003</v>
      </c>
    </row>
    <row r="160" spans="1:6" x14ac:dyDescent="0.3">
      <c r="A160" t="s">
        <v>382</v>
      </c>
      <c r="B160" s="2">
        <f>('Data and assumptions'!B230*'Data and assumptions'!B231*'Data and assumptions'!B232*24*'Data and assumptions'!B1)/(1-'Data and assumptions'!B236/100)</f>
        <v>2.5934375000000003</v>
      </c>
      <c r="C160">
        <f>('Data and assumptions'!B233*24*'Data and assumptions'!B234*'Data and assumptions'!B1)/((1-'Data and assumptions'!B236/100)*'Data and assumptions'!B235)</f>
        <v>28.950000000000003</v>
      </c>
    </row>
    <row r="161" spans="1:3" x14ac:dyDescent="0.3">
      <c r="A161" t="s">
        <v>383</v>
      </c>
      <c r="B161" s="2">
        <f>('Data and assumptions'!B230*'Data and assumptions'!B231*'Data and assumptions'!B232*24*'Data and assumptions'!B1)/(1-'Data and assumptions'!B236/100)</f>
        <v>2.5934375000000003</v>
      </c>
      <c r="C161">
        <f>('Data and assumptions'!B233*24*'Data and assumptions'!B234*'Data and assumptions'!B1)/((1-'Data and assumptions'!B236/100)*'Data and assumptions'!B235)</f>
        <v>28.950000000000003</v>
      </c>
    </row>
    <row r="162" spans="1:3" x14ac:dyDescent="0.3">
      <c r="A162" t="s">
        <v>384</v>
      </c>
      <c r="B162" s="2">
        <f>('Data and assumptions'!B230*'Data and assumptions'!B231*'Data and assumptions'!B232*24*'Data and assumptions'!B1)/(1-'Data and assumptions'!B236/100)</f>
        <v>2.5934375000000003</v>
      </c>
      <c r="C162">
        <f>('Data and assumptions'!B233*24*'Data and assumptions'!B234*'Data and assumptions'!B1)/((1-'Data and assumptions'!B236/100)*'Data and assumptions'!B235)</f>
        <v>28.950000000000003</v>
      </c>
    </row>
    <row r="163" spans="1:3" x14ac:dyDescent="0.3">
      <c r="A163" t="s">
        <v>385</v>
      </c>
      <c r="B163" s="2">
        <f>('Data and assumptions'!B230*'Data and assumptions'!B231*'Data and assumptions'!B232*24*'Data and assumptions'!B1)/(1-'Data and assumptions'!B236/100)</f>
        <v>2.5934375000000003</v>
      </c>
      <c r="C163">
        <f>('Data and assumptions'!B233*24*'Data and assumptions'!B234*'Data and assumptions'!B1)/((1-'Data and assumptions'!B236/100)*'Data and assumptions'!B235)</f>
        <v>28.950000000000003</v>
      </c>
    </row>
    <row r="164" spans="1:3" x14ac:dyDescent="0.3">
      <c r="A164" t="s">
        <v>386</v>
      </c>
      <c r="B164" s="2">
        <f>('Data and assumptions'!B230*'Data and assumptions'!B231*'Data and assumptions'!B232*24*'Data and assumptions'!B1)/(1-'Data and assumptions'!B236/100)</f>
        <v>2.5934375000000003</v>
      </c>
      <c r="C164">
        <f>('Data and assumptions'!B233*24*'Data and assumptions'!B234*'Data and assumptions'!B1)/((1-'Data and assumptions'!B236/100)*'Data and assumptions'!B235)</f>
        <v>28.950000000000003</v>
      </c>
    </row>
    <row r="165" spans="1:3" x14ac:dyDescent="0.3">
      <c r="A165" t="s">
        <v>389</v>
      </c>
      <c r="B165" s="2">
        <f>('Data and assumptions'!B230*'Data and assumptions'!B231*'Data and assumptions'!B232*24*'Data and assumptions'!B1)/(1-'Data and assumptions'!B236/100)</f>
        <v>2.5934375000000003</v>
      </c>
      <c r="C165">
        <f>('Data and assumptions'!B233*24*'Data and assumptions'!B234*'Data and assumptions'!B1)/((1-'Data and assumptions'!B236/100)*'Data and assumptions'!B235)</f>
        <v>28.950000000000003</v>
      </c>
    </row>
    <row r="166" spans="1:3" x14ac:dyDescent="0.3">
      <c r="A166" t="s">
        <v>390</v>
      </c>
      <c r="B166" s="2">
        <f>('Data and assumptions'!B230*'Data and assumptions'!B231*'Data and assumptions'!B232*24*'Data and assumptions'!B1)/(1-'Data and assumptions'!B236/100)</f>
        <v>2.5934375000000003</v>
      </c>
      <c r="C166">
        <f>('Data and assumptions'!B233*24*'Data and assumptions'!B234*'Data and assumptions'!B1)/((1-'Data and assumptions'!B236/100)*'Data and assumptions'!B235)</f>
        <v>28.950000000000003</v>
      </c>
    </row>
  </sheetData>
  <mergeCells count="1">
    <mergeCell ref="C66:G6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6"/>
  <sheetViews>
    <sheetView zoomScaleNormal="100" workbookViewId="0"/>
  </sheetViews>
  <sheetFormatPr defaultRowHeight="14.4" x14ac:dyDescent="0.3"/>
  <cols>
    <col min="1" max="1" width="30.109375" customWidth="1"/>
    <col min="2" max="15" width="11.33203125" customWidth="1"/>
    <col min="17" max="17" width="10.109375" bestFit="1" customWidth="1"/>
  </cols>
  <sheetData>
    <row r="1" spans="1:17" ht="24" customHeight="1" x14ac:dyDescent="0.35">
      <c r="B1" s="55" t="s">
        <v>417</v>
      </c>
      <c r="C1" s="55"/>
      <c r="D1" s="55"/>
      <c r="E1" s="55"/>
      <c r="F1" s="55"/>
      <c r="G1" s="55"/>
      <c r="H1" s="55"/>
      <c r="I1" s="55"/>
      <c r="J1" s="55"/>
      <c r="K1" s="55"/>
      <c r="L1" s="55"/>
      <c r="M1" s="55"/>
      <c r="N1" s="55"/>
      <c r="O1" s="55"/>
    </row>
    <row r="2" spans="1:17" ht="24" customHeight="1" x14ac:dyDescent="0.3">
      <c r="B2" s="55" t="s">
        <v>418</v>
      </c>
      <c r="C2" s="55"/>
      <c r="D2" s="55" t="s">
        <v>419</v>
      </c>
      <c r="E2" s="55"/>
      <c r="F2" s="55" t="s">
        <v>420</v>
      </c>
      <c r="G2" s="55"/>
      <c r="H2" s="55" t="s">
        <v>421</v>
      </c>
      <c r="I2" s="55"/>
      <c r="J2" s="55" t="s">
        <v>422</v>
      </c>
      <c r="K2" s="55"/>
      <c r="L2" s="55" t="s">
        <v>423</v>
      </c>
      <c r="M2" s="55"/>
      <c r="N2" s="55" t="s">
        <v>424</v>
      </c>
      <c r="O2" s="55"/>
    </row>
    <row r="3" spans="1:17" x14ac:dyDescent="0.3">
      <c r="A3" t="s">
        <v>425</v>
      </c>
      <c r="B3" s="1">
        <v>0.33</v>
      </c>
      <c r="C3" s="1">
        <v>0.5</v>
      </c>
      <c r="D3" s="1">
        <v>0.33</v>
      </c>
      <c r="E3" s="1">
        <v>0.5</v>
      </c>
      <c r="F3" s="1">
        <v>0.33</v>
      </c>
      <c r="G3" s="1">
        <v>0.5</v>
      </c>
      <c r="H3" s="1">
        <v>0.33</v>
      </c>
      <c r="I3" s="1">
        <v>0.5</v>
      </c>
      <c r="J3" s="1">
        <v>20</v>
      </c>
      <c r="K3" s="1">
        <v>30</v>
      </c>
      <c r="L3" s="1">
        <v>0.33</v>
      </c>
      <c r="M3" s="1">
        <v>0.5</v>
      </c>
      <c r="N3" s="1">
        <v>20</v>
      </c>
      <c r="O3" s="1">
        <v>30</v>
      </c>
    </row>
    <row r="4" spans="1:17" hidden="1" x14ac:dyDescent="0.3">
      <c r="B4" s="25" t="s">
        <v>426</v>
      </c>
      <c r="C4" s="25" t="s">
        <v>427</v>
      </c>
      <c r="D4" s="25" t="s">
        <v>428</v>
      </c>
      <c r="E4" s="25" t="s">
        <v>429</v>
      </c>
      <c r="F4" s="25" t="s">
        <v>430</v>
      </c>
      <c r="G4" s="25" t="s">
        <v>431</v>
      </c>
      <c r="H4" s="25" t="s">
        <v>432</v>
      </c>
      <c r="I4" s="25" t="s">
        <v>433</v>
      </c>
      <c r="J4" s="25" t="s">
        <v>434</v>
      </c>
      <c r="K4" s="25" t="s">
        <v>435</v>
      </c>
      <c r="L4" s="25" t="s">
        <v>436</v>
      </c>
      <c r="M4" s="25" t="s">
        <v>437</v>
      </c>
      <c r="N4" s="25" t="s">
        <v>438</v>
      </c>
      <c r="O4" s="25" t="s">
        <v>439</v>
      </c>
    </row>
    <row r="5" spans="1:17" x14ac:dyDescent="0.3">
      <c r="B5" s="25"/>
      <c r="C5" s="25"/>
      <c r="D5" s="25"/>
      <c r="E5" s="25"/>
      <c r="F5" s="25"/>
      <c r="G5" s="25"/>
      <c r="H5" s="25"/>
      <c r="I5" s="25"/>
      <c r="J5" s="25"/>
      <c r="K5" s="25"/>
      <c r="L5" s="25"/>
      <c r="M5" s="25"/>
      <c r="N5" s="25"/>
      <c r="O5" s="25"/>
    </row>
    <row r="6" spans="1:17" x14ac:dyDescent="0.3">
      <c r="A6" s="1" t="s">
        <v>18</v>
      </c>
      <c r="B6" s="2">
        <f>IF('User inputs'!$B$3="Average",(Calculations!$B5+Calculations!$F5)/2,IF('User inputs'!$B$3="Spring",Calculations!$B5,IF('User inputs'!$B$3="Winter",Calculations!$F5,0)))</f>
        <v>58.683119999999995</v>
      </c>
      <c r="C6" s="2">
        <f>IF('User inputs'!$B$3="Average",(Calculations!$B$5+Calculations!$F$5)/2,IF('User inputs'!$B$3="Spring",Calculations!$B$5,IF('User inputs'!$B$3="Winter",Calculations!$F$5,0)))</f>
        <v>58.683119999999995</v>
      </c>
      <c r="D6" s="2">
        <f>IF('User inputs'!$B$3="Average",(Calculations!$B$5+Calculations!$F$5)/2,IF('User inputs'!$B$3="Spring",Calculations!$B$5,IF('User inputs'!$B$3="Winter",Calculations!$F$5,0)))</f>
        <v>58.683119999999995</v>
      </c>
      <c r="E6" s="2">
        <f>IF('User inputs'!$B$3="Average",(Calculations!$B$5+Calculations!$F$5)/2,IF('User inputs'!$B$3="Spring",Calculations!$B$5,IF('User inputs'!$B$3="Winter",Calculations!$F$5,0)))</f>
        <v>58.683119999999995</v>
      </c>
      <c r="F6" s="2">
        <f>IF('User inputs'!$B$3="Average",(Calculations!$B$5+Calculations!$F$5)/2,IF('User inputs'!$B$3="Spring",Calculations!$B$5,IF('User inputs'!$B$3="Winter",Calculations!$F$5,0)))</f>
        <v>58.683119999999995</v>
      </c>
      <c r="G6" s="2">
        <f>IF('User inputs'!$B$3="Average",(Calculations!$B$5+Calculations!$F$5)/2,IF('User inputs'!$B$3="Spring",Calculations!$B$5,IF('User inputs'!$B$3="Winter",Calculations!$F$5,0)))</f>
        <v>58.683119999999995</v>
      </c>
      <c r="H6" s="2">
        <f>IF('User inputs'!$B$3="Average",(Calculations!$B$5+Calculations!$F$5)/2,IF('User inputs'!$B$3="Spring",Calculations!$B$5,IF('User inputs'!$B$3="Winter",Calculations!$F$5,0)))</f>
        <v>58.683119999999995</v>
      </c>
      <c r="I6" s="2">
        <f>IF('User inputs'!$B$3="Average",(Calculations!$B$5+Calculations!$F$5)/2,IF('User inputs'!$B$3="Spring",Calculations!$B$5,IF('User inputs'!$B$3="Winter",Calculations!$F$5,0)))</f>
        <v>58.683119999999995</v>
      </c>
      <c r="J6" s="2">
        <f>IF('User inputs'!$B$3="Average",(Calculations!$B$5+Calculations!$F$5)/2,IF('User inputs'!$B$3="Spring",Calculations!$B$5,IF('User inputs'!$B$3="Winter",Calculations!$F$5,0)))</f>
        <v>58.683119999999995</v>
      </c>
      <c r="K6" s="2">
        <f>IF('User inputs'!$B$3="Average",(Calculations!$B$5+Calculations!$F$5)/2,IF('User inputs'!$B$3="Spring",Calculations!$B$5,IF('User inputs'!$B$3="Winter",Calculations!$F$5,0)))</f>
        <v>58.683119999999995</v>
      </c>
      <c r="L6" s="2">
        <f>IF('User inputs'!$B$3="Average",(Calculations!$B$5+Calculations!$F$5)/2,IF('User inputs'!$B$3="Spring",Calculations!$B$5,IF('User inputs'!$B$3="Winter",Calculations!$F$5,0)))</f>
        <v>58.683119999999995</v>
      </c>
      <c r="M6" s="2">
        <f>IF('User inputs'!$B$3="Average",(Calculations!$B$5+Calculations!$F$5)/2,IF('User inputs'!$B$3="Spring",Calculations!$B$5,IF('User inputs'!$B$3="Winter",Calculations!$F$5,0)))</f>
        <v>58.683119999999995</v>
      </c>
      <c r="N6" s="2">
        <f>IF('User inputs'!$B$3="Average",(Calculations!$B$5+Calculations!$F$5)/2,IF('User inputs'!$B$3="Spring",Calculations!$B$5,IF('User inputs'!$B$3="Winter",Calculations!$F$5,0)))</f>
        <v>58.683119999999995</v>
      </c>
      <c r="O6" s="2">
        <f>IF('User inputs'!$B$3="Average",(Calculations!$B$5+Calculations!$F$5)/2,IF('User inputs'!$B$3="Spring",Calculations!$B$5,IF('User inputs'!$B$3="Winter",Calculations!$F$5,0)))</f>
        <v>58.683119999999995</v>
      </c>
      <c r="P6" s="2"/>
      <c r="Q6" s="7"/>
    </row>
    <row r="7" spans="1:17" x14ac:dyDescent="0.3">
      <c r="A7" t="s">
        <v>309</v>
      </c>
      <c r="B7" s="2">
        <f>IF('User inputs'!$B$3="Average",(Calculations!$B7+Calculations!$F7)/2,IF('User inputs'!$B$3="Spring",Calculations!$B7,IF('User inputs'!$B$3="Winter",Calculations!$F7,0)))</f>
        <v>21.949885714285713</v>
      </c>
      <c r="C7" s="2">
        <f>IF('User inputs'!$B$3="Average",(Calculations!$B7+Calculations!$F7)/2,IF('User inputs'!$B$3="Spring",Calculations!$B7,IF('User inputs'!$B$3="Winter",Calculations!$F7,0)))</f>
        <v>21.949885714285713</v>
      </c>
      <c r="D7" s="2">
        <f>IF('User inputs'!$B$3="Average",(Calculations!$B7+Calculations!$F7)/2,IF('User inputs'!$B$3="Spring",Calculations!$B7,IF('User inputs'!$B$3="Winter",Calculations!$F7,0)))</f>
        <v>21.949885714285713</v>
      </c>
      <c r="E7" s="2">
        <f>IF('User inputs'!$B$3="Average",(Calculations!$B7+Calculations!$F7)/2,IF('User inputs'!$B$3="Spring",Calculations!$B7,IF('User inputs'!$B$3="Winter",Calculations!$F7,0)))</f>
        <v>21.949885714285713</v>
      </c>
      <c r="F7" s="2">
        <f>IF('User inputs'!$B$3="Average",(Calculations!$B7+Calculations!$F7)/2,IF('User inputs'!$B$3="Spring",Calculations!$B7,IF('User inputs'!$B$3="Winter",Calculations!$F7,0)))</f>
        <v>21.949885714285713</v>
      </c>
      <c r="G7" s="2">
        <f>IF('User inputs'!$B$3="Average",(Calculations!$B7+Calculations!$F7)/2,IF('User inputs'!$B$3="Spring",Calculations!$B7,IF('User inputs'!$B$3="Winter",Calculations!$F7,0)))</f>
        <v>21.949885714285713</v>
      </c>
      <c r="H7" s="2">
        <f>IF('User inputs'!$B$3="Average",(Calculations!$B7+Calculations!$F7)/2,IF('User inputs'!$B$3="Spring",Calculations!$B7,IF('User inputs'!$B$3="Winter",Calculations!$F7,0)))</f>
        <v>21.949885714285713</v>
      </c>
      <c r="I7" s="2">
        <f>IF('User inputs'!$B$3="Average",(Calculations!$B7+Calculations!$F7)/2,IF('User inputs'!$B$3="Spring",Calculations!$B7,IF('User inputs'!$B$3="Winter",Calculations!$F7,0)))</f>
        <v>21.949885714285713</v>
      </c>
      <c r="J7" s="2">
        <f>IF('User inputs'!$B$3="Average",(Calculations!$B7+Calculations!$F7)/2,IF('User inputs'!$B$3="Spring",Calculations!$B7,IF('User inputs'!$B$3="Winter",Calculations!$F7,0)))</f>
        <v>21.949885714285713</v>
      </c>
      <c r="K7" s="2">
        <f>IF('User inputs'!$B$3="Average",(Calculations!$B7+Calculations!$F7)/2,IF('User inputs'!$B$3="Spring",Calculations!$B7,IF('User inputs'!$B$3="Winter",Calculations!$F7,0)))</f>
        <v>21.949885714285713</v>
      </c>
      <c r="L7" s="2">
        <f>IF('User inputs'!$B$3="Average",(Calculations!$B7+Calculations!$F7)/2,IF('User inputs'!$B$3="Spring",Calculations!$B7,IF('User inputs'!$B$3="Winter",Calculations!$F7,0)))</f>
        <v>21.949885714285713</v>
      </c>
      <c r="M7" s="2">
        <f>IF('User inputs'!$B$3="Average",(Calculations!$B7+Calculations!$F7)/2,IF('User inputs'!$B$3="Spring",Calculations!$B7,IF('User inputs'!$B$3="Winter",Calculations!$F7,0)))</f>
        <v>21.949885714285713</v>
      </c>
      <c r="N7" s="2">
        <f>IF('User inputs'!$B$3="Average",(Calculations!$B7+Calculations!$F7)/2,IF('User inputs'!$B$3="Spring",Calculations!$B7,IF('User inputs'!$B$3="Winter",Calculations!$F7,0)))</f>
        <v>21.949885714285713</v>
      </c>
      <c r="O7" s="2">
        <f>IF('User inputs'!$B$3="Average",(Calculations!$B7+Calculations!$F7)/2,IF('User inputs'!$B$3="Spring",Calculations!$B7,IF('User inputs'!$B$3="Winter",Calculations!$F7,0)))</f>
        <v>21.949885714285713</v>
      </c>
      <c r="Q7" s="7"/>
    </row>
    <row r="8" spans="1:17" x14ac:dyDescent="0.3">
      <c r="A8" t="s">
        <v>440</v>
      </c>
      <c r="B8" s="2">
        <f>IF('User inputs'!$B$3="Average",(Calculations!$B8+Calculations!$F8)/2,IF('User inputs'!$B$3="Spring",Calculations!$B8,IF('User inputs'!$B$3="Winter",Calculations!$F8,0)))</f>
        <v>19.885738666666668</v>
      </c>
      <c r="C8" s="2">
        <f>IF('User inputs'!$B$3="Average",(Calculations!$B8+Calculations!$F8)/2,IF('User inputs'!$B$3="Spring",Calculations!$B8,IF('User inputs'!$B$3="Winter",Calculations!$F8,0)))</f>
        <v>19.885738666666668</v>
      </c>
      <c r="D8" s="2">
        <f>IF('User inputs'!$B$3="Average",(Calculations!$B8+Calculations!$F8)/2,IF('User inputs'!$B$3="Spring",Calculations!$B8,IF('User inputs'!$B$3="Winter",Calculations!$F8,0)))</f>
        <v>19.885738666666668</v>
      </c>
      <c r="E8" s="2">
        <f>IF('User inputs'!$B$3="Average",(Calculations!$B8+Calculations!$F8)/2,IF('User inputs'!$B$3="Spring",Calculations!$B8,IF('User inputs'!$B$3="Winter",Calculations!$F8,0)))</f>
        <v>19.885738666666668</v>
      </c>
      <c r="F8" s="2">
        <f>IF('User inputs'!$B$3="Average",(Calculations!$B8+Calculations!$F8)/2,IF('User inputs'!$B$3="Spring",Calculations!$B8,IF('User inputs'!$B$3="Winter",Calculations!$F8,0)))</f>
        <v>19.885738666666668</v>
      </c>
      <c r="G8" s="2">
        <f>IF('User inputs'!$B$3="Average",(Calculations!$B8+Calculations!$F8)/2,IF('User inputs'!$B$3="Spring",Calculations!$B8,IF('User inputs'!$B$3="Winter",Calculations!$F8,0)))</f>
        <v>19.885738666666668</v>
      </c>
      <c r="H8" s="2">
        <f>IF('User inputs'!$B$3="Average",(Calculations!$B8+Calculations!$F8)/2,IF('User inputs'!$B$3="Spring",Calculations!$B8,IF('User inputs'!$B$3="Winter",Calculations!$F8,0)))</f>
        <v>19.885738666666668</v>
      </c>
      <c r="I8" s="2">
        <f>IF('User inputs'!$B$3="Average",(Calculations!$B8+Calculations!$F8)/2,IF('User inputs'!$B$3="Spring",Calculations!$B8,IF('User inputs'!$B$3="Winter",Calculations!$F8,0)))</f>
        <v>19.885738666666668</v>
      </c>
      <c r="J8" s="2">
        <f>IF('User inputs'!$B$3="Average",(Calculations!$B8+Calculations!$F8)/2,IF('User inputs'!$B$3="Spring",Calculations!$B8,IF('User inputs'!$B$3="Winter",Calculations!$F8,0)))</f>
        <v>19.885738666666668</v>
      </c>
      <c r="K8" s="2">
        <f>IF('User inputs'!$B$3="Average",(Calculations!$B8+Calculations!$F8)/2,IF('User inputs'!$B$3="Spring",Calculations!$B8,IF('User inputs'!$B$3="Winter",Calculations!$F8,0)))</f>
        <v>19.885738666666668</v>
      </c>
      <c r="L8" s="2">
        <f>IF('User inputs'!$B$3="Average",(Calculations!$B8+Calculations!$F8)/2,IF('User inputs'!$B$3="Spring",Calculations!$B8,IF('User inputs'!$B$3="Winter",Calculations!$F8,0)))</f>
        <v>19.885738666666668</v>
      </c>
      <c r="M8" s="2">
        <f>IF('User inputs'!$B$3="Average",(Calculations!$B8+Calculations!$F8)/2,IF('User inputs'!$B$3="Spring",Calculations!$B8,IF('User inputs'!$B$3="Winter",Calculations!$F8,0)))</f>
        <v>19.885738666666668</v>
      </c>
      <c r="N8" s="2">
        <f>IF('User inputs'!$B$3="Average",(Calculations!$B8+Calculations!$F8)/2,IF('User inputs'!$B$3="Spring",Calculations!$B8,IF('User inputs'!$B$3="Winter",Calculations!$F8,0)))</f>
        <v>19.885738666666668</v>
      </c>
      <c r="O8" s="2">
        <f>IF('User inputs'!$B$3="Average",(Calculations!$B8+Calculations!$F8)/2,IF('User inputs'!$B$3="Spring",Calculations!$B8,IF('User inputs'!$B$3="Winter",Calculations!$F8,0)))</f>
        <v>19.885738666666668</v>
      </c>
      <c r="Q8" s="7"/>
    </row>
    <row r="9" spans="1:17" x14ac:dyDescent="0.3">
      <c r="A9" t="s">
        <v>311</v>
      </c>
      <c r="B9" s="2">
        <f>IF('User inputs'!$B$3="Average",(Calculations!$B9+Calculations!$F9)/2,IF('User inputs'!$B$3="Spring",Calculations!$B9,IF('User inputs'!$B$3="Winter",Calculations!$F9,0)))</f>
        <v>9.0741702857142847</v>
      </c>
      <c r="C9" s="2">
        <f>IF('User inputs'!$B$3="Average",(Calculations!$B9+Calculations!$F9)/2,IF('User inputs'!$B$3="Spring",Calculations!$B9,IF('User inputs'!$B$3="Winter",Calculations!$F9,0)))</f>
        <v>9.0741702857142847</v>
      </c>
      <c r="D9" s="2">
        <f>IF('User inputs'!$B$3="Average",(Calculations!$B9+Calculations!$F9)/2,IF('User inputs'!$B$3="Spring",Calculations!$B9,IF('User inputs'!$B$3="Winter",Calculations!$F9,0)))</f>
        <v>9.0741702857142847</v>
      </c>
      <c r="E9" s="2">
        <f>IF('User inputs'!$B$3="Average",(Calculations!$B9+Calculations!$F9)/2,IF('User inputs'!$B$3="Spring",Calculations!$B9,IF('User inputs'!$B$3="Winter",Calculations!$F9,0)))</f>
        <v>9.0741702857142847</v>
      </c>
      <c r="F9" s="2">
        <f>IF('User inputs'!$B$3="Average",(Calculations!$B9+Calculations!$F9)/2,IF('User inputs'!$B$3="Spring",Calculations!$B9,IF('User inputs'!$B$3="Winter",Calculations!$F9,0)))</f>
        <v>9.0741702857142847</v>
      </c>
      <c r="G9" s="2">
        <f>IF('User inputs'!$B$3="Average",(Calculations!$B9+Calculations!$F9)/2,IF('User inputs'!$B$3="Spring",Calculations!$B9,IF('User inputs'!$B$3="Winter",Calculations!$F9,0)))</f>
        <v>9.0741702857142847</v>
      </c>
      <c r="H9" s="2">
        <f>IF('User inputs'!$B$3="Average",(Calculations!$B9+Calculations!$F9)/2,IF('User inputs'!$B$3="Spring",Calculations!$B9,IF('User inputs'!$B$3="Winter",Calculations!$F9,0)))</f>
        <v>9.0741702857142847</v>
      </c>
      <c r="I9" s="2">
        <f>IF('User inputs'!$B$3="Average",(Calculations!$B9+Calculations!$F9)/2,IF('User inputs'!$B$3="Spring",Calculations!$B9,IF('User inputs'!$B$3="Winter",Calculations!$F9,0)))</f>
        <v>9.0741702857142847</v>
      </c>
      <c r="J9" s="2">
        <f>IF('User inputs'!$B$3="Average",(Calculations!$B9+Calculations!$F9)/2,IF('User inputs'!$B$3="Spring",Calculations!$B9,IF('User inputs'!$B$3="Winter",Calculations!$F9,0)))</f>
        <v>9.0741702857142847</v>
      </c>
      <c r="K9" s="2">
        <f>IF('User inputs'!$B$3="Average",(Calculations!$B9+Calculations!$F9)/2,IF('User inputs'!$B$3="Spring",Calculations!$B9,IF('User inputs'!$B$3="Winter",Calculations!$F9,0)))</f>
        <v>9.0741702857142847</v>
      </c>
      <c r="L9" s="2">
        <f>IF('User inputs'!$B$3="Average",(Calculations!$B9+Calculations!$F9)/2,IF('User inputs'!$B$3="Spring",Calculations!$B9,IF('User inputs'!$B$3="Winter",Calculations!$F9,0)))</f>
        <v>9.0741702857142847</v>
      </c>
      <c r="M9" s="2">
        <f>IF('User inputs'!$B$3="Average",(Calculations!$B9+Calculations!$F9)/2,IF('User inputs'!$B$3="Spring",Calculations!$B9,IF('User inputs'!$B$3="Winter",Calculations!$F9,0)))</f>
        <v>9.0741702857142847</v>
      </c>
      <c r="N9" s="2">
        <f>IF('User inputs'!$B$3="Average",(Calculations!$B9+Calculations!$F9)/2,IF('User inputs'!$B$3="Spring",Calculations!$B9,IF('User inputs'!$B$3="Winter",Calculations!$F9,0)))</f>
        <v>9.0741702857142847</v>
      </c>
      <c r="O9" s="2">
        <f>IF('User inputs'!$B$3="Average",(Calculations!$B9+Calculations!$F9)/2,IF('User inputs'!$B$3="Spring",Calculations!$B9,IF('User inputs'!$B$3="Winter",Calculations!$F9,0)))</f>
        <v>9.0741702857142847</v>
      </c>
      <c r="Q9" s="7"/>
    </row>
    <row r="10" spans="1:17" x14ac:dyDescent="0.3">
      <c r="A10" t="s">
        <v>312</v>
      </c>
      <c r="B10" s="2">
        <f>IF('User inputs'!$B$3="Average",(Calculations!$B10+Calculations!$F10)/2,IF('User inputs'!$B$3="Spring",Calculations!$B10,IF('User inputs'!$B$3="Winter",Calculations!$F10,0)))</f>
        <v>1.9050133333333337</v>
      </c>
      <c r="C10" s="2">
        <f>IF('User inputs'!$B$3="Average",(Calculations!$B10+Calculations!$F10)/2,IF('User inputs'!$B$3="Spring",Calculations!$B10,IF('User inputs'!$B$3="Winter",Calculations!$F10,0)))</f>
        <v>1.9050133333333337</v>
      </c>
      <c r="D10" s="2">
        <f>IF('User inputs'!$B$3="Average",(Calculations!$B10+Calculations!$F10)/2,IF('User inputs'!$B$3="Spring",Calculations!$B10,IF('User inputs'!$B$3="Winter",Calculations!$F10,0)))</f>
        <v>1.9050133333333337</v>
      </c>
      <c r="E10" s="2">
        <f>IF('User inputs'!$B$3="Average",(Calculations!$B10+Calculations!$F10)/2,IF('User inputs'!$B$3="Spring",Calculations!$B10,IF('User inputs'!$B$3="Winter",Calculations!$F10,0)))</f>
        <v>1.9050133333333337</v>
      </c>
      <c r="F10" s="2">
        <f>IF('User inputs'!$B$3="Average",(Calculations!$B10+Calculations!$F10)/2,IF('User inputs'!$B$3="Spring",Calculations!$B10,IF('User inputs'!$B$3="Winter",Calculations!$F10,0)))</f>
        <v>1.9050133333333337</v>
      </c>
      <c r="G10" s="2">
        <f>IF('User inputs'!$B$3="Average",(Calculations!$B10+Calculations!$F10)/2,IF('User inputs'!$B$3="Spring",Calculations!$B10,IF('User inputs'!$B$3="Winter",Calculations!$F10,0)))</f>
        <v>1.9050133333333337</v>
      </c>
      <c r="H10" s="2">
        <f>IF('User inputs'!$B$3="Average",(Calculations!$B10+Calculations!$F10)/2,IF('User inputs'!$B$3="Spring",Calculations!$B10,IF('User inputs'!$B$3="Winter",Calculations!$F10,0)))</f>
        <v>1.9050133333333337</v>
      </c>
      <c r="I10" s="2">
        <f>IF('User inputs'!$B$3="Average",(Calculations!$B10+Calculations!$F10)/2,IF('User inputs'!$B$3="Spring",Calculations!$B10,IF('User inputs'!$B$3="Winter",Calculations!$F10,0)))</f>
        <v>1.9050133333333337</v>
      </c>
      <c r="J10" s="2">
        <f>IF('User inputs'!$B$3="Average",(Calculations!$B10+Calculations!$F10)/2,IF('User inputs'!$B$3="Spring",Calculations!$B10,IF('User inputs'!$B$3="Winter",Calculations!$F10,0)))</f>
        <v>1.9050133333333337</v>
      </c>
      <c r="K10" s="2">
        <f>IF('User inputs'!$B$3="Average",(Calculations!$B10+Calculations!$F10)/2,IF('User inputs'!$B$3="Spring",Calculations!$B10,IF('User inputs'!$B$3="Winter",Calculations!$F10,0)))</f>
        <v>1.9050133333333337</v>
      </c>
      <c r="L10" s="2">
        <f>IF('User inputs'!$B$3="Average",(Calculations!$B10+Calculations!$F10)/2,IF('User inputs'!$B$3="Spring",Calculations!$B10,IF('User inputs'!$B$3="Winter",Calculations!$F10,0)))</f>
        <v>1.9050133333333337</v>
      </c>
      <c r="M10" s="2">
        <f>IF('User inputs'!$B$3="Average",(Calculations!$B10+Calculations!$F10)/2,IF('User inputs'!$B$3="Spring",Calculations!$B10,IF('User inputs'!$B$3="Winter",Calculations!$F10,0)))</f>
        <v>1.9050133333333337</v>
      </c>
      <c r="N10" s="2">
        <f>IF('User inputs'!$B$3="Average",(Calculations!$B10+Calculations!$F10)/2,IF('User inputs'!$B$3="Spring",Calculations!$B10,IF('User inputs'!$B$3="Winter",Calculations!$F10,0)))</f>
        <v>1.9050133333333337</v>
      </c>
      <c r="O10" s="2">
        <f>IF('User inputs'!$B$3="Average",(Calculations!$B10+Calculations!$F10)/2,IF('User inputs'!$B$3="Spring",Calculations!$B10,IF('User inputs'!$B$3="Winter",Calculations!$F10,0)))</f>
        <v>1.9050133333333337</v>
      </c>
      <c r="Q10" s="7"/>
    </row>
    <row r="11" spans="1:17" x14ac:dyDescent="0.3">
      <c r="A11" t="s">
        <v>313</v>
      </c>
      <c r="B11" s="2">
        <f>IF('User inputs'!$B$3="Average",(Calculations!$B11+Calculations!$F11)/2,IF('User inputs'!$B$3="Spring",Calculations!$B11,IF('User inputs'!$B$3="Winter",Calculations!$F11,0)))</f>
        <v>5.8683119999999995</v>
      </c>
      <c r="C11" s="2">
        <f>IF('User inputs'!$B$3="Average",(Calculations!$B11+Calculations!$F11)/2,IF('User inputs'!$B$3="Spring",Calculations!$B11,IF('User inputs'!$B$3="Winter",Calculations!$F11,0)))</f>
        <v>5.8683119999999995</v>
      </c>
      <c r="D11" s="2">
        <f>IF('User inputs'!$B$3="Average",(Calculations!$B11+Calculations!$F11)/2,IF('User inputs'!$B$3="Spring",Calculations!$B11,IF('User inputs'!$B$3="Winter",Calculations!$F11,0)))</f>
        <v>5.8683119999999995</v>
      </c>
      <c r="E11" s="2">
        <f>IF('User inputs'!$B$3="Average",(Calculations!$B11+Calculations!$F11)/2,IF('User inputs'!$B$3="Spring",Calculations!$B11,IF('User inputs'!$B$3="Winter",Calculations!$F11,0)))</f>
        <v>5.8683119999999995</v>
      </c>
      <c r="F11" s="2">
        <f>IF('User inputs'!$B$3="Average",(Calculations!$B11+Calculations!$F11)/2,IF('User inputs'!$B$3="Spring",Calculations!$B11,IF('User inputs'!$B$3="Winter",Calculations!$F11,0)))</f>
        <v>5.8683119999999995</v>
      </c>
      <c r="G11" s="2">
        <f>IF('User inputs'!$B$3="Average",(Calculations!$B11+Calculations!$F11)/2,IF('User inputs'!$B$3="Spring",Calculations!$B11,IF('User inputs'!$B$3="Winter",Calculations!$F11,0)))</f>
        <v>5.8683119999999995</v>
      </c>
      <c r="H11" s="2">
        <f>IF('User inputs'!$B$3="Average",(Calculations!$B11+Calculations!$F11)/2,IF('User inputs'!$B$3="Spring",Calculations!$B11,IF('User inputs'!$B$3="Winter",Calculations!$F11,0)))</f>
        <v>5.8683119999999995</v>
      </c>
      <c r="I11" s="2">
        <f>IF('User inputs'!$B$3="Average",(Calculations!$B11+Calculations!$F11)/2,IF('User inputs'!$B$3="Spring",Calculations!$B11,IF('User inputs'!$B$3="Winter",Calculations!$F11,0)))</f>
        <v>5.8683119999999995</v>
      </c>
      <c r="J11" s="2">
        <f>IF('User inputs'!$B$3="Average",(Calculations!$B11+Calculations!$F11)/2,IF('User inputs'!$B$3="Spring",Calculations!$B11,IF('User inputs'!$B$3="Winter",Calculations!$F11,0)))</f>
        <v>5.8683119999999995</v>
      </c>
      <c r="K11" s="2">
        <f>IF('User inputs'!$B$3="Average",(Calculations!$B11+Calculations!$F11)/2,IF('User inputs'!$B$3="Spring",Calculations!$B11,IF('User inputs'!$B$3="Winter",Calculations!$F11,0)))</f>
        <v>5.8683119999999995</v>
      </c>
      <c r="L11" s="2">
        <f>IF('User inputs'!$B$3="Average",(Calculations!$B11+Calculations!$F11)/2,IF('User inputs'!$B$3="Spring",Calculations!$B11,IF('User inputs'!$B$3="Winter",Calculations!$F11,0)))</f>
        <v>5.8683119999999995</v>
      </c>
      <c r="M11" s="2">
        <f>IF('User inputs'!$B$3="Average",(Calculations!$B11+Calculations!$F11)/2,IF('User inputs'!$B$3="Spring",Calculations!$B11,IF('User inputs'!$B$3="Winter",Calculations!$F11,0)))</f>
        <v>5.8683119999999995</v>
      </c>
      <c r="N11" s="2">
        <f>IF('User inputs'!$B$3="Average",(Calculations!$B11+Calculations!$F11)/2,IF('User inputs'!$B$3="Spring",Calculations!$B11,IF('User inputs'!$B$3="Winter",Calculations!$F11,0)))</f>
        <v>5.8683119999999995</v>
      </c>
      <c r="O11" s="2">
        <f>IF('User inputs'!$B$3="Average",(Calculations!$B11+Calculations!$F11)/2,IF('User inputs'!$B$3="Spring",Calculations!$B11,IF('User inputs'!$B$3="Winter",Calculations!$F11,0)))</f>
        <v>5.8683119999999995</v>
      </c>
      <c r="Q11" s="7"/>
    </row>
    <row r="12" spans="1:17" x14ac:dyDescent="0.3">
      <c r="B12" s="2"/>
      <c r="C12" s="2"/>
      <c r="D12" s="2"/>
      <c r="E12" s="2"/>
      <c r="F12" s="2"/>
      <c r="G12" s="2"/>
      <c r="H12" s="2"/>
      <c r="I12" s="2"/>
      <c r="J12" s="2"/>
      <c r="K12" s="2"/>
      <c r="L12" s="2"/>
      <c r="M12" s="2"/>
      <c r="N12" s="2"/>
      <c r="O12" s="2"/>
      <c r="Q12" s="7"/>
    </row>
    <row r="13" spans="1:17" x14ac:dyDescent="0.3">
      <c r="A13" s="1" t="s">
        <v>27</v>
      </c>
      <c r="B13" s="2">
        <f>Calculations!$B14</f>
        <v>4.2788887870435328</v>
      </c>
      <c r="C13" s="2">
        <f>Calculations!$B14</f>
        <v>4.2788887870435328</v>
      </c>
      <c r="D13" s="2">
        <f>Calculations!$B14</f>
        <v>4.2788887870435328</v>
      </c>
      <c r="E13" s="2">
        <f>Calculations!$B14</f>
        <v>4.2788887870435328</v>
      </c>
      <c r="F13" s="2">
        <f>Calculations!$B14</f>
        <v>4.2788887870435328</v>
      </c>
      <c r="G13" s="2">
        <f>Calculations!$B14</f>
        <v>4.2788887870435328</v>
      </c>
      <c r="H13" s="2">
        <f>Calculations!$B14</f>
        <v>4.2788887870435328</v>
      </c>
      <c r="I13" s="2">
        <f>Calculations!$B14</f>
        <v>4.2788887870435328</v>
      </c>
      <c r="J13" s="2">
        <f>Calculations!$B14</f>
        <v>4.2788887870435328</v>
      </c>
      <c r="K13" s="2">
        <f>Calculations!$B14</f>
        <v>4.2788887870435328</v>
      </c>
      <c r="L13" s="2">
        <f>Calculations!$B14</f>
        <v>4.2788887870435328</v>
      </c>
      <c r="M13" s="2">
        <f>Calculations!$B14</f>
        <v>4.2788887870435328</v>
      </c>
      <c r="N13" s="2">
        <f>Calculations!$B14</f>
        <v>4.2788887870435328</v>
      </c>
      <c r="O13" s="2">
        <f>Calculations!$B14</f>
        <v>4.2788887870435328</v>
      </c>
      <c r="Q13" s="7"/>
    </row>
    <row r="14" spans="1:17" x14ac:dyDescent="0.3">
      <c r="A14" t="s">
        <v>309</v>
      </c>
      <c r="B14" s="2">
        <f>Calculations!$B16</f>
        <v>0.80487164925034083</v>
      </c>
      <c r="C14" s="2">
        <f>Calculations!$B16</f>
        <v>0.80487164925034083</v>
      </c>
      <c r="D14" s="2">
        <f>Calculations!$B16</f>
        <v>0.80487164925034083</v>
      </c>
      <c r="E14" s="2">
        <f>Calculations!$B16</f>
        <v>0.80487164925034083</v>
      </c>
      <c r="F14" s="2">
        <f>Calculations!$B16</f>
        <v>0.80487164925034083</v>
      </c>
      <c r="G14" s="2">
        <f>Calculations!$B16</f>
        <v>0.80487164925034083</v>
      </c>
      <c r="H14" s="2">
        <f>Calculations!$B16</f>
        <v>0.80487164925034083</v>
      </c>
      <c r="I14" s="2">
        <f>Calculations!$B16</f>
        <v>0.80487164925034083</v>
      </c>
      <c r="J14" s="2">
        <f>Calculations!$B16</f>
        <v>0.80487164925034083</v>
      </c>
      <c r="K14" s="2">
        <f>Calculations!$B16</f>
        <v>0.80487164925034083</v>
      </c>
      <c r="L14" s="2">
        <f>Calculations!$B16</f>
        <v>0.80487164925034083</v>
      </c>
      <c r="M14" s="2">
        <f>Calculations!$B16</f>
        <v>0.80487164925034083</v>
      </c>
      <c r="N14" s="2">
        <f>Calculations!$B16</f>
        <v>0.80487164925034083</v>
      </c>
      <c r="O14" s="2">
        <f>Calculations!$B16</f>
        <v>0.80487164925034083</v>
      </c>
      <c r="Q14" s="7"/>
    </row>
    <row r="15" spans="1:17" x14ac:dyDescent="0.3">
      <c r="A15" t="s">
        <v>314</v>
      </c>
      <c r="B15" s="2">
        <f>Calculations!$B17</f>
        <v>5.1346665444522398E-2</v>
      </c>
      <c r="C15" s="2">
        <f>Calculations!$B17</f>
        <v>5.1346665444522398E-2</v>
      </c>
      <c r="D15" s="2">
        <f>Calculations!$B17</f>
        <v>5.1346665444522398E-2</v>
      </c>
      <c r="E15" s="2">
        <f>Calculations!$B17</f>
        <v>5.1346665444522398E-2</v>
      </c>
      <c r="F15" s="2">
        <f>Calculations!$B17</f>
        <v>5.1346665444522398E-2</v>
      </c>
      <c r="G15" s="2">
        <f>Calculations!$B17</f>
        <v>5.1346665444522398E-2</v>
      </c>
      <c r="H15" s="2">
        <f>Calculations!$B17</f>
        <v>5.1346665444522398E-2</v>
      </c>
      <c r="I15" s="2">
        <f>Calculations!$B17</f>
        <v>5.1346665444522398E-2</v>
      </c>
      <c r="J15" s="2">
        <f>Calculations!$B17</f>
        <v>5.1346665444522398E-2</v>
      </c>
      <c r="K15" s="2">
        <f>Calculations!$B17</f>
        <v>5.1346665444522398E-2</v>
      </c>
      <c r="L15" s="2">
        <f>Calculations!$B17</f>
        <v>5.1346665444522398E-2</v>
      </c>
      <c r="M15" s="2">
        <f>Calculations!$B17</f>
        <v>5.1346665444522398E-2</v>
      </c>
      <c r="N15" s="2">
        <f>Calculations!$B17</f>
        <v>5.1346665444522398E-2</v>
      </c>
      <c r="O15" s="2">
        <f>Calculations!$B17</f>
        <v>5.1346665444522398E-2</v>
      </c>
      <c r="Q15" s="7"/>
    </row>
    <row r="16" spans="1:17" x14ac:dyDescent="0.3">
      <c r="A16" t="s">
        <v>315</v>
      </c>
      <c r="B16" s="2">
        <f>Calculations!$B18</f>
        <v>0.66115111313039532</v>
      </c>
      <c r="C16" s="2">
        <f>Calculations!$B18</f>
        <v>0.66115111313039532</v>
      </c>
      <c r="D16" s="2">
        <f>Calculations!$B18</f>
        <v>0.66115111313039532</v>
      </c>
      <c r="E16" s="2">
        <f>Calculations!$B18</f>
        <v>0.66115111313039532</v>
      </c>
      <c r="F16" s="2">
        <f>Calculations!$B18</f>
        <v>0.66115111313039532</v>
      </c>
      <c r="G16" s="2">
        <f>Calculations!$B18</f>
        <v>0.66115111313039532</v>
      </c>
      <c r="H16" s="2">
        <f>Calculations!$B18</f>
        <v>0.66115111313039532</v>
      </c>
      <c r="I16" s="2">
        <f>Calculations!$B18</f>
        <v>0.66115111313039532</v>
      </c>
      <c r="J16" s="2">
        <f>Calculations!$B18</f>
        <v>0.66115111313039532</v>
      </c>
      <c r="K16" s="2">
        <f>Calculations!$B18</f>
        <v>0.66115111313039532</v>
      </c>
      <c r="L16" s="2">
        <f>Calculations!$B18</f>
        <v>0.66115111313039532</v>
      </c>
      <c r="M16" s="2">
        <f>Calculations!$B18</f>
        <v>0.66115111313039532</v>
      </c>
      <c r="N16" s="2">
        <f>Calculations!$B18</f>
        <v>0.66115111313039532</v>
      </c>
      <c r="O16" s="2">
        <f>Calculations!$B18</f>
        <v>0.66115111313039532</v>
      </c>
      <c r="Q16" s="7"/>
    </row>
    <row r="17" spans="1:17" x14ac:dyDescent="0.3">
      <c r="A17" t="s">
        <v>316</v>
      </c>
      <c r="B17" s="2">
        <f>Calculations!$B19</f>
        <v>1.1300865578992056</v>
      </c>
      <c r="C17" s="2">
        <f>Calculations!$B19</f>
        <v>1.1300865578992056</v>
      </c>
      <c r="D17" s="2">
        <f>Calculations!$B19</f>
        <v>1.1300865578992056</v>
      </c>
      <c r="E17" s="2">
        <f>Calculations!$B19</f>
        <v>1.1300865578992056</v>
      </c>
      <c r="F17" s="2">
        <f>Calculations!$B19</f>
        <v>1.1300865578992056</v>
      </c>
      <c r="G17" s="2">
        <f>Calculations!$B19</f>
        <v>1.1300865578992056</v>
      </c>
      <c r="H17" s="2">
        <f>Calculations!$B19</f>
        <v>1.1300865578992056</v>
      </c>
      <c r="I17" s="2">
        <f>Calculations!$B19</f>
        <v>1.1300865578992056</v>
      </c>
      <c r="J17" s="2">
        <f>Calculations!$B19</f>
        <v>1.1300865578992056</v>
      </c>
      <c r="K17" s="2">
        <f>Calculations!$B19</f>
        <v>1.1300865578992056</v>
      </c>
      <c r="L17" s="2">
        <f>Calculations!$B19</f>
        <v>1.1300865578992056</v>
      </c>
      <c r="M17" s="2">
        <f>Calculations!$B19</f>
        <v>1.1300865578992056</v>
      </c>
      <c r="N17" s="2">
        <f>Calculations!$B19</f>
        <v>1.1300865578992056</v>
      </c>
      <c r="O17" s="2">
        <f>Calculations!$B19</f>
        <v>1.1300865578992056</v>
      </c>
      <c r="Q17" s="7"/>
    </row>
    <row r="18" spans="1:17" x14ac:dyDescent="0.3">
      <c r="A18" t="s">
        <v>317</v>
      </c>
      <c r="B18" s="2">
        <f>Calculations!$B20</f>
        <v>0.97676281690140843</v>
      </c>
      <c r="C18" s="2">
        <f>Calculations!$B20</f>
        <v>0.97676281690140843</v>
      </c>
      <c r="D18" s="2">
        <f>Calculations!$B20</f>
        <v>0.97676281690140843</v>
      </c>
      <c r="E18" s="2">
        <f>Calculations!$B20</f>
        <v>0.97676281690140843</v>
      </c>
      <c r="F18" s="2">
        <f>Calculations!$B20</f>
        <v>0.97676281690140843</v>
      </c>
      <c r="G18" s="2">
        <f>Calculations!$B20</f>
        <v>0.97676281690140843</v>
      </c>
      <c r="H18" s="2">
        <f>Calculations!$B20</f>
        <v>0.97676281690140843</v>
      </c>
      <c r="I18" s="2">
        <f>Calculations!$B20</f>
        <v>0.97676281690140843</v>
      </c>
      <c r="J18" s="2">
        <f>Calculations!$B20</f>
        <v>0.97676281690140843</v>
      </c>
      <c r="K18" s="2">
        <f>Calculations!$B20</f>
        <v>0.97676281690140843</v>
      </c>
      <c r="L18" s="2">
        <f>Calculations!$B20</f>
        <v>0.97676281690140843</v>
      </c>
      <c r="M18" s="2">
        <f>Calculations!$B20</f>
        <v>0.97676281690140843</v>
      </c>
      <c r="N18" s="2">
        <f>Calculations!$B20</f>
        <v>0.97676281690140843</v>
      </c>
      <c r="O18" s="2">
        <f>Calculations!$B20</f>
        <v>0.97676281690140843</v>
      </c>
      <c r="Q18" s="7"/>
    </row>
    <row r="19" spans="1:17" x14ac:dyDescent="0.3">
      <c r="A19" t="s">
        <v>313</v>
      </c>
      <c r="B19" s="2">
        <f>Calculations!$B21</f>
        <v>0.65466998441766056</v>
      </c>
      <c r="C19" s="2">
        <f>Calculations!$B21</f>
        <v>0.65466998441766056</v>
      </c>
      <c r="D19" s="2">
        <f>Calculations!$B21</f>
        <v>0.65466998441766056</v>
      </c>
      <c r="E19" s="2">
        <f>Calculations!$B21</f>
        <v>0.65466998441766056</v>
      </c>
      <c r="F19" s="2">
        <f>Calculations!$B21</f>
        <v>0.65466998441766056</v>
      </c>
      <c r="G19" s="2">
        <f>Calculations!$B21</f>
        <v>0.65466998441766056</v>
      </c>
      <c r="H19" s="2">
        <f>Calculations!$B21</f>
        <v>0.65466998441766056</v>
      </c>
      <c r="I19" s="2">
        <f>Calculations!$B21</f>
        <v>0.65466998441766056</v>
      </c>
      <c r="J19" s="2">
        <f>Calculations!$B21</f>
        <v>0.65466998441766056</v>
      </c>
      <c r="K19" s="2">
        <f>Calculations!$B21</f>
        <v>0.65466998441766056</v>
      </c>
      <c r="L19" s="2">
        <f>Calculations!$B21</f>
        <v>0.65466998441766056</v>
      </c>
      <c r="M19" s="2">
        <f>Calculations!$B21</f>
        <v>0.65466998441766056</v>
      </c>
      <c r="N19" s="2">
        <f>Calculations!$B21</f>
        <v>0.65466998441766056</v>
      </c>
      <c r="O19" s="2">
        <f>Calculations!$B21</f>
        <v>0.65466998441766056</v>
      </c>
      <c r="Q19" s="7"/>
    </row>
    <row r="20" spans="1:17" x14ac:dyDescent="0.3">
      <c r="B20" s="2"/>
      <c r="C20" s="2"/>
      <c r="D20" s="2"/>
      <c r="E20" s="2"/>
      <c r="F20" s="2"/>
      <c r="G20" s="2"/>
      <c r="H20" s="2"/>
      <c r="I20" s="2"/>
      <c r="J20" s="2"/>
      <c r="K20" s="2"/>
      <c r="L20" s="2"/>
      <c r="M20" s="2"/>
      <c r="N20" s="2"/>
      <c r="O20" s="2"/>
      <c r="Q20" s="7"/>
    </row>
    <row r="21" spans="1:17" x14ac:dyDescent="0.3">
      <c r="A21" s="1" t="s">
        <v>318</v>
      </c>
      <c r="B21" s="2">
        <f>Calculations!$B24</f>
        <v>36.45809672</v>
      </c>
      <c r="C21" s="2">
        <f>Calculations!$B24</f>
        <v>36.45809672</v>
      </c>
      <c r="D21" s="2">
        <f>Calculations!$B24</f>
        <v>36.45809672</v>
      </c>
      <c r="E21" s="2">
        <f>Calculations!$B24</f>
        <v>36.45809672</v>
      </c>
      <c r="F21" s="2">
        <f>Calculations!$B24</f>
        <v>36.45809672</v>
      </c>
      <c r="G21" s="2">
        <f>Calculations!$B24</f>
        <v>36.45809672</v>
      </c>
      <c r="H21" s="2">
        <f>Calculations!$B24</f>
        <v>36.45809672</v>
      </c>
      <c r="I21" s="2">
        <f>Calculations!$B24</f>
        <v>36.45809672</v>
      </c>
      <c r="J21" s="2">
        <f>Calculations!$B24</f>
        <v>36.45809672</v>
      </c>
      <c r="K21" s="2">
        <f>Calculations!$B24</f>
        <v>36.45809672</v>
      </c>
      <c r="L21" s="2">
        <f>Calculations!$B24</f>
        <v>36.45809672</v>
      </c>
      <c r="M21" s="2">
        <f>Calculations!$B24</f>
        <v>36.45809672</v>
      </c>
      <c r="N21" s="2">
        <f>Calculations!$B24</f>
        <v>36.45809672</v>
      </c>
      <c r="O21" s="2">
        <f>Calculations!$B24</f>
        <v>36.45809672</v>
      </c>
      <c r="Q21" s="7"/>
    </row>
    <row r="22" spans="1:17" x14ac:dyDescent="0.3">
      <c r="A22" t="s">
        <v>319</v>
      </c>
      <c r="B22" s="2">
        <f>Calculations!$B26</f>
        <v>0.56751193599999994</v>
      </c>
      <c r="C22" s="2">
        <f>Calculations!$B26</f>
        <v>0.56751193599999994</v>
      </c>
      <c r="D22" s="2">
        <f>Calculations!$B26</f>
        <v>0.56751193599999994</v>
      </c>
      <c r="E22" s="2">
        <f>Calculations!$B26</f>
        <v>0.56751193599999994</v>
      </c>
      <c r="F22" s="2">
        <f>Calculations!$B26</f>
        <v>0.56751193599999994</v>
      </c>
      <c r="G22" s="2">
        <f>Calculations!$B26</f>
        <v>0.56751193599999994</v>
      </c>
      <c r="H22" s="2">
        <f>Calculations!$B26</f>
        <v>0.56751193599999994</v>
      </c>
      <c r="I22" s="2">
        <f>Calculations!$B26</f>
        <v>0.56751193599999994</v>
      </c>
      <c r="J22" s="2">
        <f>Calculations!$B26</f>
        <v>0.56751193599999994</v>
      </c>
      <c r="K22" s="2">
        <f>Calculations!$B26</f>
        <v>0.56751193599999994</v>
      </c>
      <c r="L22" s="2">
        <f>Calculations!$B26</f>
        <v>0.56751193599999994</v>
      </c>
      <c r="M22" s="2">
        <f>Calculations!$B26</f>
        <v>0.56751193599999994</v>
      </c>
      <c r="N22" s="2">
        <f>Calculations!$B26</f>
        <v>0.56751193599999994</v>
      </c>
      <c r="O22" s="2">
        <f>Calculations!$B26</f>
        <v>0.56751193599999994</v>
      </c>
      <c r="Q22" s="7"/>
    </row>
    <row r="23" spans="1:17" x14ac:dyDescent="0.3">
      <c r="A23" t="s">
        <v>320</v>
      </c>
      <c r="B23" s="2">
        <f>Calculations!$B27</f>
        <v>3.5008031360000005</v>
      </c>
      <c r="C23" s="2">
        <f>Calculations!$B27</f>
        <v>3.5008031360000005</v>
      </c>
      <c r="D23" s="2">
        <f>Calculations!$B27</f>
        <v>3.5008031360000005</v>
      </c>
      <c r="E23" s="2">
        <f>Calculations!$B27</f>
        <v>3.5008031360000005</v>
      </c>
      <c r="F23" s="2">
        <f>Calculations!$B27</f>
        <v>3.5008031360000005</v>
      </c>
      <c r="G23" s="2">
        <f>Calculations!$B27</f>
        <v>3.5008031360000005</v>
      </c>
      <c r="H23" s="2">
        <f>Calculations!$B27</f>
        <v>3.5008031360000005</v>
      </c>
      <c r="I23" s="2">
        <f>Calculations!$B27</f>
        <v>3.5008031360000005</v>
      </c>
      <c r="J23" s="2">
        <f>Calculations!$B27</f>
        <v>3.5008031360000005</v>
      </c>
      <c r="K23" s="2">
        <f>Calculations!$B27</f>
        <v>3.5008031360000005</v>
      </c>
      <c r="L23" s="2">
        <f>Calculations!$B27</f>
        <v>3.5008031360000005</v>
      </c>
      <c r="M23" s="2">
        <f>Calculations!$B27</f>
        <v>3.5008031360000005</v>
      </c>
      <c r="N23" s="2">
        <f>Calculations!$B27</f>
        <v>3.5008031360000005</v>
      </c>
      <c r="O23" s="2">
        <f>Calculations!$B27</f>
        <v>3.5008031360000005</v>
      </c>
      <c r="Q23" s="7"/>
    </row>
    <row r="24" spans="1:17" x14ac:dyDescent="0.3">
      <c r="A24" t="s">
        <v>316</v>
      </c>
      <c r="B24" s="2">
        <f>Calculations!$B28</f>
        <v>32.108587327999999</v>
      </c>
      <c r="C24" s="2">
        <f>Calculations!$B28</f>
        <v>32.108587327999999</v>
      </c>
      <c r="D24" s="2">
        <f>Calculations!$B28</f>
        <v>32.108587327999999</v>
      </c>
      <c r="E24" s="2">
        <f>Calculations!$B28</f>
        <v>32.108587327999999</v>
      </c>
      <c r="F24" s="2">
        <f>Calculations!$B28</f>
        <v>32.108587327999999</v>
      </c>
      <c r="G24" s="2">
        <f>Calculations!$B28</f>
        <v>32.108587327999999</v>
      </c>
      <c r="H24" s="2">
        <f>Calculations!$B28</f>
        <v>32.108587327999999</v>
      </c>
      <c r="I24" s="2">
        <f>Calculations!$B28</f>
        <v>32.108587327999999</v>
      </c>
      <c r="J24" s="2">
        <f>Calculations!$B28</f>
        <v>32.108587327999999</v>
      </c>
      <c r="K24" s="2">
        <f>Calculations!$B28</f>
        <v>32.108587327999999</v>
      </c>
      <c r="L24" s="2">
        <f>Calculations!$B28</f>
        <v>32.108587327999999</v>
      </c>
      <c r="M24" s="2">
        <f>Calculations!$B28</f>
        <v>32.108587327999999</v>
      </c>
      <c r="N24" s="2">
        <f>Calculations!$B28</f>
        <v>32.108587327999999</v>
      </c>
      <c r="O24" s="2">
        <f>Calculations!$B28</f>
        <v>32.108587327999999</v>
      </c>
      <c r="Q24" s="7"/>
    </row>
    <row r="25" spans="1:17" x14ac:dyDescent="0.3">
      <c r="B25" s="2"/>
      <c r="C25" s="2"/>
      <c r="D25" s="2"/>
      <c r="E25" s="2"/>
      <c r="F25" s="2"/>
      <c r="G25" s="2"/>
      <c r="H25" s="2"/>
      <c r="I25" s="2"/>
      <c r="J25" s="2"/>
      <c r="K25" s="2"/>
      <c r="L25" s="2"/>
      <c r="M25" s="2"/>
      <c r="N25" s="2"/>
      <c r="O25" s="2"/>
      <c r="Q25" s="7"/>
    </row>
    <row r="26" spans="1:17" x14ac:dyDescent="0.3">
      <c r="A26" s="1" t="s">
        <v>441</v>
      </c>
      <c r="B26" s="2">
        <f>Calculations!B31</f>
        <v>165.63597999999999</v>
      </c>
      <c r="C26" s="2">
        <f>Calculations!$B31</f>
        <v>165.63597999999999</v>
      </c>
      <c r="D26" s="2">
        <f>Calculations!$B31</f>
        <v>165.63597999999999</v>
      </c>
      <c r="E26" s="2">
        <f>Calculations!$B31</f>
        <v>165.63597999999999</v>
      </c>
      <c r="F26" s="2">
        <f>Calculations!$B31</f>
        <v>165.63597999999999</v>
      </c>
      <c r="G26" s="2">
        <f>Calculations!$B31</f>
        <v>165.63597999999999</v>
      </c>
      <c r="H26" s="2">
        <f>Calculations!$B31</f>
        <v>165.63597999999999</v>
      </c>
      <c r="I26" s="2">
        <f>Calculations!$B31</f>
        <v>165.63597999999999</v>
      </c>
      <c r="J26" s="2">
        <f>Calculations!$B31</f>
        <v>165.63597999999999</v>
      </c>
      <c r="K26" s="2">
        <f>Calculations!$B31</f>
        <v>165.63597999999999</v>
      </c>
      <c r="L26" s="2">
        <f>Calculations!$B31</f>
        <v>165.63597999999999</v>
      </c>
      <c r="M26" s="2">
        <f>Calculations!$B31</f>
        <v>165.63597999999999</v>
      </c>
      <c r="N26" s="2">
        <f>Calculations!$B31</f>
        <v>165.63597999999999</v>
      </c>
      <c r="O26" s="2">
        <f>Calculations!$B31</f>
        <v>165.63597999999999</v>
      </c>
      <c r="Q26" s="7"/>
    </row>
    <row r="27" spans="1:17" x14ac:dyDescent="0.3">
      <c r="A27" t="s">
        <v>54</v>
      </c>
      <c r="B27" s="2">
        <f>Calculations!$B$50</f>
        <v>0.50129107505070991</v>
      </c>
      <c r="C27" s="2">
        <f>Calculations!$B$50</f>
        <v>0.50129107505070991</v>
      </c>
      <c r="D27" s="2">
        <f>Calculations!$B$50</f>
        <v>0.50129107505070991</v>
      </c>
      <c r="E27" s="2">
        <f>Calculations!$B$50</f>
        <v>0.50129107505070991</v>
      </c>
      <c r="F27" s="2">
        <f>Calculations!$B$50</f>
        <v>0.50129107505070991</v>
      </c>
      <c r="G27" s="2">
        <f>Calculations!$B$50</f>
        <v>0.50129107505070991</v>
      </c>
      <c r="H27" s="2">
        <f>Calculations!$B$50</f>
        <v>0.50129107505070991</v>
      </c>
      <c r="I27" s="2">
        <f>Calculations!$B$50</f>
        <v>0.50129107505070991</v>
      </c>
      <c r="J27" s="2">
        <f>Calculations!$B$50</f>
        <v>0.50129107505070991</v>
      </c>
      <c r="K27" s="2">
        <f>Calculations!$B$50</f>
        <v>0.50129107505070991</v>
      </c>
      <c r="L27" s="2">
        <f>Calculations!$B$50</f>
        <v>0.50129107505070991</v>
      </c>
      <c r="M27" s="2">
        <f>Calculations!$B$50</f>
        <v>0.50129107505070991</v>
      </c>
      <c r="N27" s="2">
        <f>Calculations!$B$50</f>
        <v>0.50129107505070991</v>
      </c>
      <c r="O27" s="2">
        <f>Calculations!$B$50</f>
        <v>0.50129107505070991</v>
      </c>
      <c r="Q27" s="7"/>
    </row>
    <row r="28" spans="1:17" x14ac:dyDescent="0.3">
      <c r="A28" t="s">
        <v>57</v>
      </c>
      <c r="B28" s="2">
        <f>Calculations!$B$51</f>
        <v>14.349215832710975</v>
      </c>
      <c r="C28" s="2">
        <f>Calculations!$B$51</f>
        <v>14.349215832710975</v>
      </c>
      <c r="D28" s="2">
        <f>Calculations!$B$51</f>
        <v>14.349215832710975</v>
      </c>
      <c r="E28" s="2">
        <f>Calculations!$B$51</f>
        <v>14.349215832710975</v>
      </c>
      <c r="F28" s="2">
        <f>Calculations!$B$51</f>
        <v>14.349215832710975</v>
      </c>
      <c r="G28" s="2">
        <f>Calculations!$B$51</f>
        <v>14.349215832710975</v>
      </c>
      <c r="H28" s="2">
        <f>Calculations!$B$51</f>
        <v>14.349215832710975</v>
      </c>
      <c r="I28" s="2">
        <f>Calculations!$B$51</f>
        <v>14.349215832710975</v>
      </c>
      <c r="J28" s="2">
        <f>Calculations!$B$51</f>
        <v>14.349215832710975</v>
      </c>
      <c r="K28" s="2">
        <f>Calculations!$B$51</f>
        <v>14.349215832710975</v>
      </c>
      <c r="L28" s="2">
        <f>Calculations!$B$51</f>
        <v>14.349215832710975</v>
      </c>
      <c r="M28" s="2">
        <f>Calculations!$B$51</f>
        <v>14.349215832710975</v>
      </c>
      <c r="N28" s="2">
        <f>Calculations!$B$51</f>
        <v>14.349215832710975</v>
      </c>
      <c r="O28" s="2">
        <f>Calculations!$B$51</f>
        <v>14.349215832710975</v>
      </c>
      <c r="Q28" s="7"/>
    </row>
    <row r="29" spans="1:17" x14ac:dyDescent="0.3">
      <c r="A29" t="s">
        <v>59</v>
      </c>
      <c r="B29" s="2">
        <f>Calculations!$B$52</f>
        <v>4.8787333831217321</v>
      </c>
      <c r="C29" s="2">
        <f>Calculations!$B$52</f>
        <v>4.8787333831217321</v>
      </c>
      <c r="D29" s="2">
        <f>Calculations!$B$52</f>
        <v>4.8787333831217321</v>
      </c>
      <c r="E29" s="2">
        <f>Calculations!$B$52</f>
        <v>4.8787333831217321</v>
      </c>
      <c r="F29" s="2">
        <f>Calculations!$B$52</f>
        <v>4.8787333831217321</v>
      </c>
      <c r="G29" s="2">
        <f>Calculations!$B$52</f>
        <v>4.8787333831217321</v>
      </c>
      <c r="H29" s="2">
        <f>Calculations!$B$52</f>
        <v>4.8787333831217321</v>
      </c>
      <c r="I29" s="2">
        <f>Calculations!$B$52</f>
        <v>4.8787333831217321</v>
      </c>
      <c r="J29" s="2">
        <f>Calculations!$B$52</f>
        <v>4.8787333831217321</v>
      </c>
      <c r="K29" s="2">
        <f>Calculations!$B$52</f>
        <v>4.8787333831217321</v>
      </c>
      <c r="L29" s="2">
        <f>Calculations!$B$52</f>
        <v>4.8787333831217321</v>
      </c>
      <c r="M29" s="2">
        <f>Calculations!$B$52</f>
        <v>4.8787333831217321</v>
      </c>
      <c r="N29" s="2">
        <f>Calculations!$B$52</f>
        <v>4.8787333831217321</v>
      </c>
      <c r="O29" s="2">
        <f>Calculations!$B$52</f>
        <v>4.8787333831217321</v>
      </c>
      <c r="Q29" s="7"/>
    </row>
    <row r="30" spans="1:17" x14ac:dyDescent="0.3">
      <c r="A30" t="s">
        <v>60</v>
      </c>
      <c r="B30" s="2">
        <f>Calculations!$B$53</f>
        <v>51.001212845407004</v>
      </c>
      <c r="C30" s="2">
        <f>Calculations!$B$53</f>
        <v>51.001212845407004</v>
      </c>
      <c r="D30" s="2">
        <f>Calculations!$B$53</f>
        <v>51.001212845407004</v>
      </c>
      <c r="E30" s="2">
        <f>Calculations!$B$53</f>
        <v>51.001212845407004</v>
      </c>
      <c r="F30" s="2">
        <f>Calculations!$B$53</f>
        <v>51.001212845407004</v>
      </c>
      <c r="G30" s="2">
        <f>Calculations!$B$53</f>
        <v>51.001212845407004</v>
      </c>
      <c r="H30" s="2">
        <f>Calculations!$B$53</f>
        <v>51.001212845407004</v>
      </c>
      <c r="I30" s="2">
        <f>Calculations!$B$53</f>
        <v>51.001212845407004</v>
      </c>
      <c r="J30" s="2">
        <f>Calculations!$B$53</f>
        <v>51.001212845407004</v>
      </c>
      <c r="K30" s="2">
        <f>Calculations!$B$53</f>
        <v>51.001212845407004</v>
      </c>
      <c r="L30" s="2">
        <f>Calculations!$B$53</f>
        <v>51.001212845407004</v>
      </c>
      <c r="M30" s="2">
        <f>Calculations!$B$53</f>
        <v>51.001212845407004</v>
      </c>
      <c r="N30" s="2">
        <f>Calculations!$B$53</f>
        <v>51.001212845407004</v>
      </c>
      <c r="O30" s="2">
        <f>Calculations!$B$53</f>
        <v>51.001212845407004</v>
      </c>
      <c r="Q30" s="7"/>
    </row>
    <row r="31" spans="1:17" x14ac:dyDescent="0.3">
      <c r="A31" t="s">
        <v>61</v>
      </c>
      <c r="B31" s="2">
        <f>Calculations!$B$54+Calculations!$B$36</f>
        <v>19.681710953346858</v>
      </c>
      <c r="C31" s="2">
        <f>Calculations!$B$54+Calculations!$B$36</f>
        <v>19.681710953346858</v>
      </c>
      <c r="D31" s="2">
        <f>Calculations!$B$54+Calculations!$B$36</f>
        <v>19.681710953346858</v>
      </c>
      <c r="E31" s="2">
        <f>Calculations!$B$54+Calculations!$B$36</f>
        <v>19.681710953346858</v>
      </c>
      <c r="F31" s="2">
        <f>Calculations!$B$54+Calculations!$B$36</f>
        <v>19.681710953346858</v>
      </c>
      <c r="G31" s="2">
        <f>Calculations!$B$54+Calculations!$B$36</f>
        <v>19.681710953346858</v>
      </c>
      <c r="H31" s="2">
        <f>Calculations!$B$54+Calculations!$B$36</f>
        <v>19.681710953346858</v>
      </c>
      <c r="I31" s="2">
        <f>Calculations!$B$54+Calculations!$B$36</f>
        <v>19.681710953346858</v>
      </c>
      <c r="J31" s="2">
        <f>Calculations!$B$54+Calculations!$B$36</f>
        <v>19.681710953346858</v>
      </c>
      <c r="K31" s="2">
        <f>Calculations!$B$54+Calculations!$B$36</f>
        <v>19.681710953346858</v>
      </c>
      <c r="L31" s="2">
        <f>Calculations!$B$54+Calculations!$B$36</f>
        <v>19.681710953346858</v>
      </c>
      <c r="M31" s="2">
        <f>Calculations!$B$54+Calculations!$B$36</f>
        <v>19.681710953346858</v>
      </c>
      <c r="N31" s="2">
        <f>Calculations!$B$54+Calculations!$B$36</f>
        <v>19.681710953346858</v>
      </c>
      <c r="O31" s="2">
        <f>Calculations!$B$54+Calculations!$B$36</f>
        <v>19.681710953346858</v>
      </c>
      <c r="Q31" s="7"/>
    </row>
    <row r="32" spans="1:17" x14ac:dyDescent="0.3">
      <c r="A32" t="s">
        <v>62</v>
      </c>
      <c r="B32" s="2">
        <f>Calculations!$B$55</f>
        <v>4.0103286004056793</v>
      </c>
      <c r="C32" s="2">
        <f>Calculations!$B$55</f>
        <v>4.0103286004056793</v>
      </c>
      <c r="D32" s="2">
        <f>Calculations!$B$55</f>
        <v>4.0103286004056793</v>
      </c>
      <c r="E32" s="2">
        <f>Calculations!$B$55</f>
        <v>4.0103286004056793</v>
      </c>
      <c r="F32" s="2">
        <f>Calculations!$B$55</f>
        <v>4.0103286004056793</v>
      </c>
      <c r="G32" s="2">
        <f>Calculations!$B$55</f>
        <v>4.0103286004056793</v>
      </c>
      <c r="H32" s="2">
        <f>Calculations!$B$55</f>
        <v>4.0103286004056793</v>
      </c>
      <c r="I32" s="2">
        <f>Calculations!$B$55</f>
        <v>4.0103286004056793</v>
      </c>
      <c r="J32" s="2">
        <f>Calculations!$B$55</f>
        <v>4.0103286004056793</v>
      </c>
      <c r="K32" s="2">
        <f>Calculations!$B$55</f>
        <v>4.0103286004056793</v>
      </c>
      <c r="L32" s="2">
        <f>Calculations!$B$55</f>
        <v>4.0103286004056793</v>
      </c>
      <c r="M32" s="2">
        <f>Calculations!$B$55</f>
        <v>4.0103286004056793</v>
      </c>
      <c r="N32" s="2">
        <f>Calculations!$B$55</f>
        <v>4.0103286004056793</v>
      </c>
      <c r="O32" s="2">
        <f>Calculations!$B$55</f>
        <v>4.0103286004056793</v>
      </c>
      <c r="Q32" s="7"/>
    </row>
    <row r="33" spans="1:17" x14ac:dyDescent="0.3">
      <c r="A33" t="s">
        <v>63</v>
      </c>
      <c r="B33" s="2">
        <f>Calculations!$B$56</f>
        <v>0.38560851926977691</v>
      </c>
      <c r="C33" s="2">
        <f>Calculations!$B$56</f>
        <v>0.38560851926977691</v>
      </c>
      <c r="D33" s="2">
        <f>Calculations!$B$56</f>
        <v>0.38560851926977691</v>
      </c>
      <c r="E33" s="2">
        <f>Calculations!$B$56</f>
        <v>0.38560851926977691</v>
      </c>
      <c r="F33" s="2">
        <f>Calculations!$B$56</f>
        <v>0.38560851926977691</v>
      </c>
      <c r="G33" s="2">
        <f>Calculations!$B$56</f>
        <v>0.38560851926977691</v>
      </c>
      <c r="H33" s="2">
        <f>Calculations!$B$56</f>
        <v>0.38560851926977691</v>
      </c>
      <c r="I33" s="2">
        <f>Calculations!$B$56</f>
        <v>0.38560851926977691</v>
      </c>
      <c r="J33" s="2">
        <f>Calculations!$B$56</f>
        <v>0.38560851926977691</v>
      </c>
      <c r="K33" s="2">
        <f>Calculations!$B$56</f>
        <v>0.38560851926977691</v>
      </c>
      <c r="L33" s="2">
        <f>Calculations!$B$56</f>
        <v>0.38560851926977691</v>
      </c>
      <c r="M33" s="2">
        <f>Calculations!$B$56</f>
        <v>0.38560851926977691</v>
      </c>
      <c r="N33" s="2">
        <f>Calculations!$B$56</f>
        <v>0.38560851926977691</v>
      </c>
      <c r="O33" s="2">
        <f>Calculations!$B$56</f>
        <v>0.38560851926977691</v>
      </c>
      <c r="Q33" s="7"/>
    </row>
    <row r="34" spans="1:17" x14ac:dyDescent="0.3">
      <c r="A34" t="s">
        <v>64</v>
      </c>
      <c r="B34" s="2">
        <f>Calculations!$B$57</f>
        <v>9.6402129817444226E-2</v>
      </c>
      <c r="C34" s="2">
        <f>Calculations!$B$57</f>
        <v>9.6402129817444226E-2</v>
      </c>
      <c r="D34" s="2">
        <f>Calculations!$B$57</f>
        <v>9.6402129817444226E-2</v>
      </c>
      <c r="E34" s="2">
        <f>Calculations!$B$57</f>
        <v>9.6402129817444226E-2</v>
      </c>
      <c r="F34" s="2">
        <f>Calculations!$B$57</f>
        <v>9.6402129817444226E-2</v>
      </c>
      <c r="G34" s="2">
        <f>Calculations!$B$57</f>
        <v>9.6402129817444226E-2</v>
      </c>
      <c r="H34" s="2">
        <f>Calculations!$B$57</f>
        <v>9.6402129817444226E-2</v>
      </c>
      <c r="I34" s="2">
        <f>Calculations!$B$57</f>
        <v>9.6402129817444226E-2</v>
      </c>
      <c r="J34" s="2">
        <f>Calculations!$B$57</f>
        <v>9.6402129817444226E-2</v>
      </c>
      <c r="K34" s="2">
        <f>Calculations!$B$57</f>
        <v>9.6402129817444226E-2</v>
      </c>
      <c r="L34" s="2">
        <f>Calculations!$B$57</f>
        <v>9.6402129817444226E-2</v>
      </c>
      <c r="M34" s="2">
        <f>Calculations!$B$57</f>
        <v>9.6402129817444226E-2</v>
      </c>
      <c r="N34" s="2">
        <f>Calculations!$B$57</f>
        <v>9.6402129817444226E-2</v>
      </c>
      <c r="O34" s="2">
        <f>Calculations!$B$57</f>
        <v>9.6402129817444226E-2</v>
      </c>
      <c r="Q34" s="7"/>
    </row>
    <row r="35" spans="1:17" x14ac:dyDescent="0.3">
      <c r="A35" t="s">
        <v>65</v>
      </c>
      <c r="B35" s="2">
        <f>Calculations!$B$58+Calculations!$B$35</f>
        <v>11.46971994025392</v>
      </c>
      <c r="C35" s="2">
        <f>Calculations!$B$58+Calculations!$B$35</f>
        <v>11.46971994025392</v>
      </c>
      <c r="D35" s="2">
        <f>Calculations!$B$58+Calculations!$B$35</f>
        <v>11.46971994025392</v>
      </c>
      <c r="E35" s="2">
        <f>Calculations!$B$58+Calculations!$B$35</f>
        <v>11.46971994025392</v>
      </c>
      <c r="F35" s="2">
        <f>Calculations!$B$58+Calculations!$B$35</f>
        <v>11.46971994025392</v>
      </c>
      <c r="G35" s="2">
        <f>Calculations!$B$58+Calculations!$B$35</f>
        <v>11.46971994025392</v>
      </c>
      <c r="H35" s="2">
        <f>Calculations!$B$58+Calculations!$B$35</f>
        <v>11.46971994025392</v>
      </c>
      <c r="I35" s="2">
        <f>Calculations!$B$58+Calculations!$B$35</f>
        <v>11.46971994025392</v>
      </c>
      <c r="J35" s="2">
        <f>Calculations!$B$58+Calculations!$B$35</f>
        <v>11.46971994025392</v>
      </c>
      <c r="K35" s="2">
        <f>Calculations!$B$58+Calculations!$B$35</f>
        <v>11.46971994025392</v>
      </c>
      <c r="L35" s="2">
        <f>Calculations!$B$58+Calculations!$B$35</f>
        <v>11.46971994025392</v>
      </c>
      <c r="M35" s="2">
        <f>Calculations!$B$58+Calculations!$B$35</f>
        <v>11.46971994025392</v>
      </c>
      <c r="N35" s="2">
        <f>Calculations!$B$58+Calculations!$B$35</f>
        <v>11.46971994025392</v>
      </c>
      <c r="O35" s="2">
        <f>Calculations!$B$58+Calculations!$B$35</f>
        <v>11.46971994025392</v>
      </c>
      <c r="Q35" s="7"/>
    </row>
    <row r="36" spans="1:17" x14ac:dyDescent="0.3">
      <c r="A36" t="s">
        <v>106</v>
      </c>
      <c r="B36" s="2">
        <f>Calculations!$B$59</f>
        <v>41.95748412426699</v>
      </c>
      <c r="C36" s="2">
        <f>Calculations!$B$59</f>
        <v>41.95748412426699</v>
      </c>
      <c r="D36" s="2">
        <f>Calculations!$B$59</f>
        <v>41.95748412426699</v>
      </c>
      <c r="E36" s="2">
        <f>Calculations!$B$59</f>
        <v>41.95748412426699</v>
      </c>
      <c r="F36" s="2">
        <f>Calculations!$B$59</f>
        <v>41.95748412426699</v>
      </c>
      <c r="G36" s="2">
        <f>Calculations!$B$59</f>
        <v>41.95748412426699</v>
      </c>
      <c r="H36" s="2">
        <f>Calculations!$B$59</f>
        <v>41.95748412426699</v>
      </c>
      <c r="I36" s="2">
        <f>Calculations!$B$59</f>
        <v>41.95748412426699</v>
      </c>
      <c r="J36" s="2">
        <f>Calculations!$B$59</f>
        <v>41.95748412426699</v>
      </c>
      <c r="K36" s="2">
        <f>Calculations!$B$59</f>
        <v>41.95748412426699</v>
      </c>
      <c r="L36" s="2">
        <f>Calculations!$B$59</f>
        <v>41.95748412426699</v>
      </c>
      <c r="M36" s="2">
        <f>Calculations!$B$59</f>
        <v>41.95748412426699</v>
      </c>
      <c r="N36" s="2">
        <f>Calculations!$B$59</f>
        <v>41.95748412426699</v>
      </c>
      <c r="O36" s="2">
        <f>Calculations!$B$59</f>
        <v>41.95748412426699</v>
      </c>
      <c r="Q36" s="7"/>
    </row>
    <row r="37" spans="1:17" x14ac:dyDescent="0.3">
      <c r="A37" t="s">
        <v>68</v>
      </c>
      <c r="B37" s="2">
        <f>Calculations!$B$60</f>
        <v>3.0848681541582152</v>
      </c>
      <c r="C37" s="2">
        <f>Calculations!$B$60</f>
        <v>3.0848681541582152</v>
      </c>
      <c r="D37" s="2">
        <f>Calculations!$B$60</f>
        <v>3.0848681541582152</v>
      </c>
      <c r="E37" s="2">
        <f>Calculations!$B$60</f>
        <v>3.0848681541582152</v>
      </c>
      <c r="F37" s="2">
        <f>Calculations!$B$60</f>
        <v>3.0848681541582152</v>
      </c>
      <c r="G37" s="2">
        <f>Calculations!$B$60</f>
        <v>3.0848681541582152</v>
      </c>
      <c r="H37" s="2">
        <f>Calculations!$B$60</f>
        <v>3.0848681541582152</v>
      </c>
      <c r="I37" s="2">
        <f>Calculations!$B$60</f>
        <v>3.0848681541582152</v>
      </c>
      <c r="J37" s="2">
        <f>Calculations!$B$60</f>
        <v>3.0848681541582152</v>
      </c>
      <c r="K37" s="2">
        <f>Calculations!$B$60</f>
        <v>3.0848681541582152</v>
      </c>
      <c r="L37" s="2">
        <f>Calculations!$B$60</f>
        <v>3.0848681541582152</v>
      </c>
      <c r="M37" s="2">
        <f>Calculations!$B$60</f>
        <v>3.0848681541582152</v>
      </c>
      <c r="N37" s="2">
        <f>Calculations!$B$60</f>
        <v>3.0848681541582152</v>
      </c>
      <c r="O37" s="2">
        <f>Calculations!$B$60</f>
        <v>3.0848681541582152</v>
      </c>
      <c r="Q37" s="7"/>
    </row>
    <row r="38" spans="1:17" x14ac:dyDescent="0.3">
      <c r="A38" t="s">
        <v>69</v>
      </c>
      <c r="B38" s="2">
        <f>Calculations!$B$61</f>
        <v>3.4126353955375253</v>
      </c>
      <c r="C38" s="2">
        <f>Calculations!$B$61</f>
        <v>3.4126353955375253</v>
      </c>
      <c r="D38" s="2">
        <f>Calculations!$B$61</f>
        <v>3.4126353955375253</v>
      </c>
      <c r="E38" s="2">
        <f>Calculations!$B$61</f>
        <v>3.4126353955375253</v>
      </c>
      <c r="F38" s="2">
        <f>Calculations!$B$61</f>
        <v>3.4126353955375253</v>
      </c>
      <c r="G38" s="2">
        <f>Calculations!$B$61</f>
        <v>3.4126353955375253</v>
      </c>
      <c r="H38" s="2">
        <f>Calculations!$B$61</f>
        <v>3.4126353955375253</v>
      </c>
      <c r="I38" s="2">
        <f>Calculations!$B$61</f>
        <v>3.4126353955375253</v>
      </c>
      <c r="J38" s="2">
        <f>Calculations!$B$61</f>
        <v>3.4126353955375253</v>
      </c>
      <c r="K38" s="2">
        <f>Calculations!$B$61</f>
        <v>3.4126353955375253</v>
      </c>
      <c r="L38" s="2">
        <f>Calculations!$B$61</f>
        <v>3.4126353955375253</v>
      </c>
      <c r="M38" s="2">
        <f>Calculations!$B$61</f>
        <v>3.4126353955375253</v>
      </c>
      <c r="N38" s="2">
        <f>Calculations!$B$61</f>
        <v>3.4126353955375253</v>
      </c>
      <c r="O38" s="2">
        <f>Calculations!$B$61</f>
        <v>3.4126353955375253</v>
      </c>
      <c r="Q38" s="7"/>
    </row>
    <row r="39" spans="1:17" x14ac:dyDescent="0.3">
      <c r="A39" t="s">
        <v>70</v>
      </c>
      <c r="B39" s="2">
        <f>Calculations!$B$62</f>
        <v>2.660698782961461</v>
      </c>
      <c r="C39" s="2">
        <f>Calculations!$B$62</f>
        <v>2.660698782961461</v>
      </c>
      <c r="D39" s="2">
        <f>Calculations!$B$62</f>
        <v>2.660698782961461</v>
      </c>
      <c r="E39" s="2">
        <f>Calculations!$B$62</f>
        <v>2.660698782961461</v>
      </c>
      <c r="F39" s="2">
        <f>Calculations!$B$62</f>
        <v>2.660698782961461</v>
      </c>
      <c r="G39" s="2">
        <f>Calculations!$B$62</f>
        <v>2.660698782961461</v>
      </c>
      <c r="H39" s="2">
        <f>Calculations!$B$62</f>
        <v>2.660698782961461</v>
      </c>
      <c r="I39" s="2">
        <f>Calculations!$B$62</f>
        <v>2.660698782961461</v>
      </c>
      <c r="J39" s="2">
        <f>Calculations!$B$62</f>
        <v>2.660698782961461</v>
      </c>
      <c r="K39" s="2">
        <f>Calculations!$B$62</f>
        <v>2.660698782961461</v>
      </c>
      <c r="L39" s="2">
        <f>Calculations!$B$62</f>
        <v>2.660698782961461</v>
      </c>
      <c r="M39" s="2">
        <f>Calculations!$B$62</f>
        <v>2.660698782961461</v>
      </c>
      <c r="N39" s="2">
        <f>Calculations!$B$62</f>
        <v>2.660698782961461</v>
      </c>
      <c r="O39" s="2">
        <f>Calculations!$B$62</f>
        <v>2.660698782961461</v>
      </c>
      <c r="Q39" s="7"/>
    </row>
    <row r="40" spans="1:17" x14ac:dyDescent="0.3">
      <c r="A40" t="s">
        <v>71</v>
      </c>
      <c r="B40" s="2">
        <f>Calculations!$B$63</f>
        <v>2.2750902636916837</v>
      </c>
      <c r="C40" s="2">
        <f>Calculations!$B$63</f>
        <v>2.2750902636916837</v>
      </c>
      <c r="D40" s="2">
        <f>Calculations!$B$63</f>
        <v>2.2750902636916837</v>
      </c>
      <c r="E40" s="2">
        <f>Calculations!$B$63</f>
        <v>2.2750902636916837</v>
      </c>
      <c r="F40" s="2">
        <f>Calculations!$B$63</f>
        <v>2.2750902636916837</v>
      </c>
      <c r="G40" s="2">
        <f>Calculations!$B$63</f>
        <v>2.2750902636916837</v>
      </c>
      <c r="H40" s="2">
        <f>Calculations!$B$63</f>
        <v>2.2750902636916837</v>
      </c>
      <c r="I40" s="2">
        <f>Calculations!$B$63</f>
        <v>2.2750902636916837</v>
      </c>
      <c r="J40" s="2">
        <f>Calculations!$B$63</f>
        <v>2.2750902636916837</v>
      </c>
      <c r="K40" s="2">
        <f>Calculations!$B$63</f>
        <v>2.2750902636916837</v>
      </c>
      <c r="L40" s="2">
        <f>Calculations!$B$63</f>
        <v>2.2750902636916837</v>
      </c>
      <c r="M40" s="2">
        <f>Calculations!$B$63</f>
        <v>2.2750902636916837</v>
      </c>
      <c r="N40" s="2">
        <f>Calculations!$B$63</f>
        <v>2.2750902636916837</v>
      </c>
      <c r="O40" s="2">
        <f>Calculations!$B$63</f>
        <v>2.2750902636916837</v>
      </c>
      <c r="Q40" s="7"/>
    </row>
    <row r="41" spans="1:17" x14ac:dyDescent="0.3">
      <c r="A41" t="s">
        <v>36</v>
      </c>
      <c r="B41" s="2">
        <f>Calculations!$B$33+Calculations!$B$34</f>
        <v>2.0489600000000001</v>
      </c>
      <c r="C41" s="2">
        <f>Calculations!$B$33+Calculations!$B$34</f>
        <v>2.0489600000000001</v>
      </c>
      <c r="D41" s="2">
        <f>Calculations!$B$33+Calculations!$B$34</f>
        <v>2.0489600000000001</v>
      </c>
      <c r="E41" s="2">
        <f>Calculations!$B$33+Calculations!$B$34</f>
        <v>2.0489600000000001</v>
      </c>
      <c r="F41" s="2">
        <f>Calculations!$B$33+Calculations!$B$34</f>
        <v>2.0489600000000001</v>
      </c>
      <c r="G41" s="2">
        <f>Calculations!$B$33+Calculations!$B$34</f>
        <v>2.0489600000000001</v>
      </c>
      <c r="H41" s="2">
        <f>Calculations!$B$33+Calculations!$B$34</f>
        <v>2.0489600000000001</v>
      </c>
      <c r="I41" s="2">
        <f>Calculations!$B$33+Calculations!$B$34</f>
        <v>2.0489600000000001</v>
      </c>
      <c r="J41" s="2">
        <f>Calculations!$B$33+Calculations!$B$34</f>
        <v>2.0489600000000001</v>
      </c>
      <c r="K41" s="2">
        <f>Calculations!$B$33+Calculations!$B$34</f>
        <v>2.0489600000000001</v>
      </c>
      <c r="L41" s="2">
        <f>Calculations!$B$33+Calculations!$B$34</f>
        <v>2.0489600000000001</v>
      </c>
      <c r="M41" s="2">
        <f>Calculations!$B$33+Calculations!$B$34</f>
        <v>2.0489600000000001</v>
      </c>
      <c r="N41" s="2">
        <f>Calculations!$B$33+Calculations!$B$34</f>
        <v>2.0489600000000001</v>
      </c>
      <c r="O41" s="2">
        <f>Calculations!$B$33+Calculations!$B$34</f>
        <v>2.0489600000000001</v>
      </c>
      <c r="Q41" s="7"/>
    </row>
    <row r="42" spans="1:17" x14ac:dyDescent="0.3">
      <c r="A42" t="s">
        <v>398</v>
      </c>
      <c r="B42" s="2">
        <f>Calculations!$B38</f>
        <v>0.9405</v>
      </c>
      <c r="C42" s="2">
        <f>Calculations!$B38</f>
        <v>0.9405</v>
      </c>
      <c r="D42" s="2">
        <f>Calculations!$B38</f>
        <v>0.9405</v>
      </c>
      <c r="E42" s="2">
        <f>Calculations!$B38</f>
        <v>0.9405</v>
      </c>
      <c r="F42" s="2">
        <f>Calculations!$B38</f>
        <v>0.9405</v>
      </c>
      <c r="G42" s="2">
        <f>Calculations!$B38</f>
        <v>0.9405</v>
      </c>
      <c r="H42" s="2">
        <f>Calculations!$B38</f>
        <v>0.9405</v>
      </c>
      <c r="I42" s="2">
        <f>Calculations!$B38</f>
        <v>0.9405</v>
      </c>
      <c r="J42" s="2">
        <f>Calculations!$B38</f>
        <v>0.9405</v>
      </c>
      <c r="K42" s="2">
        <f>Calculations!$B38</f>
        <v>0.9405</v>
      </c>
      <c r="L42" s="2">
        <f>Calculations!$B38</f>
        <v>0.9405</v>
      </c>
      <c r="M42" s="2">
        <f>Calculations!$B38</f>
        <v>0.9405</v>
      </c>
      <c r="N42" s="2">
        <f>Calculations!$B38</f>
        <v>0.9405</v>
      </c>
      <c r="O42" s="2">
        <f>Calculations!$B38</f>
        <v>0.9405</v>
      </c>
      <c r="Q42" s="7"/>
    </row>
    <row r="43" spans="1:17" x14ac:dyDescent="0.3">
      <c r="A43" t="s">
        <v>400</v>
      </c>
      <c r="B43" s="2">
        <f>Calculations!$B39</f>
        <v>1.9763200000000001</v>
      </c>
      <c r="C43" s="2">
        <f>Calculations!$B39</f>
        <v>1.9763200000000001</v>
      </c>
      <c r="D43" s="2">
        <f>Calculations!$B39</f>
        <v>1.9763200000000001</v>
      </c>
      <c r="E43" s="2">
        <f>Calculations!$B39</f>
        <v>1.9763200000000001</v>
      </c>
      <c r="F43" s="2">
        <f>Calculations!$B39</f>
        <v>1.9763200000000001</v>
      </c>
      <c r="G43" s="2">
        <f>Calculations!$B39</f>
        <v>1.9763200000000001</v>
      </c>
      <c r="H43" s="2">
        <f>Calculations!$B39</f>
        <v>1.9763200000000001</v>
      </c>
      <c r="I43" s="2">
        <f>Calculations!$B39</f>
        <v>1.9763200000000001</v>
      </c>
      <c r="J43" s="2">
        <f>Calculations!$B39</f>
        <v>1.9763200000000001</v>
      </c>
      <c r="K43" s="2">
        <f>Calculations!$B39</f>
        <v>1.9763200000000001</v>
      </c>
      <c r="L43" s="2">
        <f>Calculations!$B39</f>
        <v>1.9763200000000001</v>
      </c>
      <c r="M43" s="2">
        <f>Calculations!$B39</f>
        <v>1.9763200000000001</v>
      </c>
      <c r="N43" s="2">
        <f>Calculations!$B39</f>
        <v>1.9763200000000001</v>
      </c>
      <c r="O43" s="2">
        <f>Calculations!$B39</f>
        <v>1.9763200000000001</v>
      </c>
      <c r="Q43" s="7"/>
    </row>
    <row r="44" spans="1:17" x14ac:dyDescent="0.3">
      <c r="A44" t="s">
        <v>399</v>
      </c>
      <c r="B44" s="2">
        <f>Calculations!$B37</f>
        <v>0.17170000000000002</v>
      </c>
      <c r="C44" s="2">
        <f>Calculations!$B37</f>
        <v>0.17170000000000002</v>
      </c>
      <c r="D44" s="2">
        <f>Calculations!$B37</f>
        <v>0.17170000000000002</v>
      </c>
      <c r="E44" s="2">
        <f>Calculations!$B37</f>
        <v>0.17170000000000002</v>
      </c>
      <c r="F44" s="2">
        <f>Calculations!$B37</f>
        <v>0.17170000000000002</v>
      </c>
      <c r="G44" s="2">
        <f>Calculations!$B37</f>
        <v>0.17170000000000002</v>
      </c>
      <c r="H44" s="2">
        <f>Calculations!$B37</f>
        <v>0.17170000000000002</v>
      </c>
      <c r="I44" s="2">
        <f>Calculations!$B37</f>
        <v>0.17170000000000002</v>
      </c>
      <c r="J44" s="2">
        <f>Calculations!$B37</f>
        <v>0.17170000000000002</v>
      </c>
      <c r="K44" s="2">
        <f>Calculations!$B37</f>
        <v>0.17170000000000002</v>
      </c>
      <c r="L44" s="2">
        <f>Calculations!$B37</f>
        <v>0.17170000000000002</v>
      </c>
      <c r="M44" s="2">
        <f>Calculations!$B37</f>
        <v>0.17170000000000002</v>
      </c>
      <c r="N44" s="2">
        <f>Calculations!$B37</f>
        <v>0.17170000000000002</v>
      </c>
      <c r="O44" s="2">
        <f>Calculations!$B37</f>
        <v>0.17170000000000002</v>
      </c>
      <c r="Q44" s="7"/>
    </row>
    <row r="45" spans="1:17" x14ac:dyDescent="0.3">
      <c r="A45" t="s">
        <v>323</v>
      </c>
      <c r="B45" s="2">
        <f>Calculations!$B40</f>
        <v>8.1499999999999993E-3</v>
      </c>
      <c r="C45" s="2">
        <f>Calculations!$B40</f>
        <v>8.1499999999999993E-3</v>
      </c>
      <c r="D45" s="2">
        <f>Calculations!$B40</f>
        <v>8.1499999999999993E-3</v>
      </c>
      <c r="E45" s="2">
        <f>Calculations!$B40</f>
        <v>8.1499999999999993E-3</v>
      </c>
      <c r="F45" s="2">
        <f>Calculations!$B40</f>
        <v>8.1499999999999993E-3</v>
      </c>
      <c r="G45" s="2">
        <f>Calculations!$B40</f>
        <v>8.1499999999999993E-3</v>
      </c>
      <c r="H45" s="2">
        <f>Calculations!$B40</f>
        <v>8.1499999999999993E-3</v>
      </c>
      <c r="I45" s="2">
        <f>Calculations!$B40</f>
        <v>8.1499999999999993E-3</v>
      </c>
      <c r="J45" s="2">
        <f>Calculations!$B40</f>
        <v>8.1499999999999993E-3</v>
      </c>
      <c r="K45" s="2">
        <f>Calculations!$B40</f>
        <v>8.1499999999999993E-3</v>
      </c>
      <c r="L45" s="2">
        <f>Calculations!$B40</f>
        <v>8.1499999999999993E-3</v>
      </c>
      <c r="M45" s="2">
        <f>Calculations!$B40</f>
        <v>8.1499999999999993E-3</v>
      </c>
      <c r="N45" s="2">
        <f>Calculations!$B40</f>
        <v>8.1499999999999993E-3</v>
      </c>
      <c r="O45" s="2">
        <f>Calculations!$B40</f>
        <v>8.1499999999999993E-3</v>
      </c>
    </row>
    <row r="46" spans="1:17" x14ac:dyDescent="0.3">
      <c r="A46" t="s">
        <v>324</v>
      </c>
      <c r="B46" s="2">
        <f>Calculations!$B41</f>
        <v>0.72534999999999994</v>
      </c>
      <c r="C46" s="2">
        <f>Calculations!$B41</f>
        <v>0.72534999999999994</v>
      </c>
      <c r="D46" s="2">
        <f>Calculations!$B41</f>
        <v>0.72534999999999994</v>
      </c>
      <c r="E46" s="2">
        <f>Calculations!$B41</f>
        <v>0.72534999999999994</v>
      </c>
      <c r="F46" s="2">
        <f>Calculations!$B41</f>
        <v>0.72534999999999994</v>
      </c>
      <c r="G46" s="2">
        <f>Calculations!$B41</f>
        <v>0.72534999999999994</v>
      </c>
      <c r="H46" s="2">
        <f>Calculations!$B41</f>
        <v>0.72534999999999994</v>
      </c>
      <c r="I46" s="2">
        <f>Calculations!$B41</f>
        <v>0.72534999999999994</v>
      </c>
      <c r="J46" s="2">
        <f>Calculations!$B41</f>
        <v>0.72534999999999994</v>
      </c>
      <c r="K46" s="2">
        <f>Calculations!$B41</f>
        <v>0.72534999999999994</v>
      </c>
      <c r="L46" s="2">
        <f>Calculations!$B41</f>
        <v>0.72534999999999994</v>
      </c>
      <c r="M46" s="2">
        <f>Calculations!$B41</f>
        <v>0.72534999999999994</v>
      </c>
      <c r="N46" s="2">
        <f>Calculations!$B41</f>
        <v>0.72534999999999994</v>
      </c>
      <c r="O46" s="2">
        <f>Calculations!$B41</f>
        <v>0.72534999999999994</v>
      </c>
    </row>
    <row r="47" spans="1:17" x14ac:dyDescent="0.3">
      <c r="A47" t="s">
        <v>325</v>
      </c>
      <c r="B47" s="2">
        <f>Calculations!$B42</f>
        <v>0</v>
      </c>
      <c r="C47" s="2">
        <f>Calculations!$B42</f>
        <v>0</v>
      </c>
      <c r="D47" s="2">
        <f>Calculations!$B42</f>
        <v>0</v>
      </c>
      <c r="E47" s="2">
        <f>Calculations!$B42</f>
        <v>0</v>
      </c>
      <c r="F47" s="2">
        <f>Calculations!$B42</f>
        <v>0</v>
      </c>
      <c r="G47" s="2">
        <f>Calculations!$B42</f>
        <v>0</v>
      </c>
      <c r="H47" s="2">
        <f>Calculations!$B42</f>
        <v>0</v>
      </c>
      <c r="I47" s="2">
        <f>Calculations!$B42</f>
        <v>0</v>
      </c>
      <c r="J47" s="2">
        <f>Calculations!$B42</f>
        <v>0</v>
      </c>
      <c r="K47" s="2">
        <f>Calculations!$B42</f>
        <v>0</v>
      </c>
      <c r="L47" s="2">
        <f>Calculations!$B42</f>
        <v>0</v>
      </c>
      <c r="M47" s="2">
        <f>Calculations!$B42</f>
        <v>0</v>
      </c>
      <c r="N47" s="2">
        <f>Calculations!$B42</f>
        <v>0</v>
      </c>
      <c r="O47" s="2">
        <f>Calculations!$B42</f>
        <v>0</v>
      </c>
    </row>
    <row r="48" spans="1:17" x14ac:dyDescent="0.3">
      <c r="A48" t="s">
        <v>326</v>
      </c>
      <c r="B48" s="2">
        <f>Calculations!$B43</f>
        <v>0</v>
      </c>
      <c r="C48" s="2">
        <f>Calculations!$B43</f>
        <v>0</v>
      </c>
      <c r="D48" s="2">
        <f>Calculations!$B43</f>
        <v>0</v>
      </c>
      <c r="E48" s="2">
        <f>Calculations!$B43</f>
        <v>0</v>
      </c>
      <c r="F48" s="2">
        <f>Calculations!$B43</f>
        <v>0</v>
      </c>
      <c r="G48" s="2">
        <f>Calculations!$B43</f>
        <v>0</v>
      </c>
      <c r="H48" s="2">
        <f>Calculations!$B43</f>
        <v>0</v>
      </c>
      <c r="I48" s="2">
        <f>Calculations!$B43</f>
        <v>0</v>
      </c>
      <c r="J48" s="2">
        <f>Calculations!$B43</f>
        <v>0</v>
      </c>
      <c r="K48" s="2">
        <f>Calculations!$B43</f>
        <v>0</v>
      </c>
      <c r="L48" s="2">
        <f>Calculations!$B43</f>
        <v>0</v>
      </c>
      <c r="M48" s="2">
        <f>Calculations!$B43</f>
        <v>0</v>
      </c>
      <c r="N48" s="2">
        <f>Calculations!$B43</f>
        <v>0</v>
      </c>
      <c r="O48" s="2">
        <f>Calculations!$B43</f>
        <v>0</v>
      </c>
    </row>
    <row r="49" spans="1:17" x14ac:dyDescent="0.3">
      <c r="A49" t="s">
        <v>327</v>
      </c>
      <c r="B49" s="2">
        <f>Calculations!$B44</f>
        <v>0</v>
      </c>
      <c r="C49" s="2">
        <f>Calculations!$B44</f>
        <v>0</v>
      </c>
      <c r="D49" s="2">
        <f>Calculations!$B44</f>
        <v>0</v>
      </c>
      <c r="E49" s="2">
        <f>Calculations!$B44</f>
        <v>0</v>
      </c>
      <c r="F49" s="2">
        <f>Calculations!$B44</f>
        <v>0</v>
      </c>
      <c r="G49" s="2">
        <f>Calculations!$B44</f>
        <v>0</v>
      </c>
      <c r="H49" s="2">
        <f>Calculations!$B44</f>
        <v>0</v>
      </c>
      <c r="I49" s="2">
        <f>Calculations!$B44</f>
        <v>0</v>
      </c>
      <c r="J49" s="2">
        <f>Calculations!$B44</f>
        <v>0</v>
      </c>
      <c r="K49" s="2">
        <f>Calculations!$B44</f>
        <v>0</v>
      </c>
      <c r="L49" s="2">
        <f>Calculations!$B44</f>
        <v>0</v>
      </c>
      <c r="M49" s="2">
        <f>Calculations!$B44</f>
        <v>0</v>
      </c>
      <c r="N49" s="2">
        <f>Calculations!$B44</f>
        <v>0</v>
      </c>
      <c r="O49" s="2">
        <f>Calculations!$B44</f>
        <v>0</v>
      </c>
    </row>
    <row r="50" spans="1:17" x14ac:dyDescent="0.3">
      <c r="A50" t="s">
        <v>328</v>
      </c>
      <c r="B50" s="2">
        <f>Calculations!$B45</f>
        <v>0</v>
      </c>
      <c r="C50" s="2">
        <f>Calculations!$B45</f>
        <v>0</v>
      </c>
      <c r="D50" s="2">
        <f>Calculations!$B45</f>
        <v>0</v>
      </c>
      <c r="E50" s="2">
        <f>Calculations!$B45</f>
        <v>0</v>
      </c>
      <c r="F50" s="2">
        <f>Calculations!$B45</f>
        <v>0</v>
      </c>
      <c r="G50" s="2">
        <f>Calculations!$B45</f>
        <v>0</v>
      </c>
      <c r="H50" s="2">
        <f>Calculations!$B45</f>
        <v>0</v>
      </c>
      <c r="I50" s="2">
        <f>Calculations!$B45</f>
        <v>0</v>
      </c>
      <c r="J50" s="2">
        <f>Calculations!$B45</f>
        <v>0</v>
      </c>
      <c r="K50" s="2">
        <f>Calculations!$B45</f>
        <v>0</v>
      </c>
      <c r="L50" s="2">
        <f>Calculations!$B45</f>
        <v>0</v>
      </c>
      <c r="M50" s="2">
        <f>Calculations!$B45</f>
        <v>0</v>
      </c>
      <c r="N50" s="2">
        <f>Calculations!$B45</f>
        <v>0</v>
      </c>
      <c r="O50" s="2">
        <f>Calculations!$B45</f>
        <v>0</v>
      </c>
    </row>
    <row r="51" spans="1:17" x14ac:dyDescent="0.3">
      <c r="A51" t="s">
        <v>329</v>
      </c>
      <c r="B51" s="2">
        <f>Calculations!$B46</f>
        <v>0</v>
      </c>
      <c r="C51" s="2">
        <f>Calculations!$B46</f>
        <v>0</v>
      </c>
      <c r="D51" s="2">
        <f>Calculations!$B46</f>
        <v>0</v>
      </c>
      <c r="E51" s="2">
        <f>Calculations!$B46</f>
        <v>0</v>
      </c>
      <c r="F51" s="2">
        <f>Calculations!$B46</f>
        <v>0</v>
      </c>
      <c r="G51" s="2">
        <f>Calculations!$B46</f>
        <v>0</v>
      </c>
      <c r="H51" s="2">
        <f>Calculations!$B46</f>
        <v>0</v>
      </c>
      <c r="I51" s="2">
        <f>Calculations!$B46</f>
        <v>0</v>
      </c>
      <c r="J51" s="2">
        <f>Calculations!$B46</f>
        <v>0</v>
      </c>
      <c r="K51" s="2">
        <f>Calculations!$B46</f>
        <v>0</v>
      </c>
      <c r="L51" s="2">
        <f>Calculations!$B46</f>
        <v>0</v>
      </c>
      <c r="M51" s="2">
        <f>Calculations!$B46</f>
        <v>0</v>
      </c>
      <c r="N51" s="2">
        <f>Calculations!$B46</f>
        <v>0</v>
      </c>
      <c r="O51" s="2">
        <f>Calculations!$B46</f>
        <v>0</v>
      </c>
    </row>
    <row r="52" spans="1:17" x14ac:dyDescent="0.3">
      <c r="A52" t="s">
        <v>330</v>
      </c>
      <c r="B52" s="2">
        <f>Calculations!$B47</f>
        <v>0</v>
      </c>
      <c r="C52" s="2">
        <f>Calculations!$B47</f>
        <v>0</v>
      </c>
      <c r="D52" s="2">
        <f>Calculations!$B47</f>
        <v>0</v>
      </c>
      <c r="E52" s="2">
        <f>Calculations!$B47</f>
        <v>0</v>
      </c>
      <c r="F52" s="2">
        <f>Calculations!$B47</f>
        <v>0</v>
      </c>
      <c r="G52" s="2">
        <f>Calculations!$B47</f>
        <v>0</v>
      </c>
      <c r="H52" s="2">
        <f>Calculations!$B47</f>
        <v>0</v>
      </c>
      <c r="I52" s="2">
        <f>Calculations!$B47</f>
        <v>0</v>
      </c>
      <c r="J52" s="2">
        <f>Calculations!$B47</f>
        <v>0</v>
      </c>
      <c r="K52" s="2">
        <f>Calculations!$B47</f>
        <v>0</v>
      </c>
      <c r="L52" s="2">
        <f>Calculations!$B47</f>
        <v>0</v>
      </c>
      <c r="M52" s="2">
        <f>Calculations!$B47</f>
        <v>0</v>
      </c>
      <c r="N52" s="2">
        <f>Calculations!$B47</f>
        <v>0</v>
      </c>
      <c r="O52" s="2">
        <f>Calculations!$B47</f>
        <v>0</v>
      </c>
    </row>
    <row r="53" spans="1:17" x14ac:dyDescent="0.3">
      <c r="A53" t="s">
        <v>331</v>
      </c>
      <c r="B53" s="2">
        <f>Calculations!$B48</f>
        <v>0</v>
      </c>
      <c r="C53" s="2">
        <f>Calculations!$B48</f>
        <v>0</v>
      </c>
      <c r="D53" s="2">
        <f>Calculations!$B48</f>
        <v>0</v>
      </c>
      <c r="E53" s="2">
        <f>Calculations!$B48</f>
        <v>0</v>
      </c>
      <c r="F53" s="2">
        <f>Calculations!$B48</f>
        <v>0</v>
      </c>
      <c r="G53" s="2">
        <f>Calculations!$B48</f>
        <v>0</v>
      </c>
      <c r="H53" s="2">
        <f>Calculations!$B48</f>
        <v>0</v>
      </c>
      <c r="I53" s="2">
        <f>Calculations!$B48</f>
        <v>0</v>
      </c>
      <c r="J53" s="2">
        <f>Calculations!$B48</f>
        <v>0</v>
      </c>
      <c r="K53" s="2">
        <f>Calculations!$B48</f>
        <v>0</v>
      </c>
      <c r="L53" s="2">
        <f>Calculations!$B48</f>
        <v>0</v>
      </c>
      <c r="M53" s="2">
        <f>Calculations!$B48</f>
        <v>0</v>
      </c>
      <c r="N53" s="2">
        <f>Calculations!$B48</f>
        <v>0</v>
      </c>
      <c r="O53" s="2">
        <f>Calculations!$B48</f>
        <v>0</v>
      </c>
    </row>
    <row r="54" spans="1:17" x14ac:dyDescent="0.3">
      <c r="B54" s="2"/>
      <c r="C54" s="2"/>
      <c r="D54" s="2"/>
      <c r="E54" s="2"/>
      <c r="F54" s="2"/>
      <c r="G54" s="2"/>
      <c r="H54" s="2"/>
      <c r="I54" s="2"/>
      <c r="J54" s="2"/>
      <c r="K54" s="2"/>
      <c r="L54" s="2"/>
      <c r="M54" s="2"/>
      <c r="N54" s="2"/>
      <c r="O54" s="2"/>
      <c r="Q54" s="7"/>
    </row>
    <row r="55" spans="1:17" x14ac:dyDescent="0.3">
      <c r="A55" s="1" t="s">
        <v>442</v>
      </c>
      <c r="B55" s="2">
        <f>Calculations!G68</f>
        <v>898.63882247422634</v>
      </c>
      <c r="C55" s="2">
        <f>Calculations!G69</f>
        <v>775.14390230315632</v>
      </c>
      <c r="D55" s="2">
        <f>Calculations!G70</f>
        <v>118.17380889653927</v>
      </c>
      <c r="E55" s="2">
        <f>Calculations!G71</f>
        <v>103.42771712078334</v>
      </c>
      <c r="F55" s="2">
        <f>Calculations!G72</f>
        <v>281.72265653042871</v>
      </c>
      <c r="G55" s="2">
        <f>Calculations!G73</f>
        <v>235.99806827950232</v>
      </c>
      <c r="H55" s="2">
        <f>Calculations!G74</f>
        <v>241.11353878060822</v>
      </c>
      <c r="I55" s="2">
        <f>Calculations!G75</f>
        <v>207.60672247362558</v>
      </c>
      <c r="J55" s="2">
        <f>Calculations!G76</f>
        <v>16.321912611764706</v>
      </c>
      <c r="K55" s="2">
        <f>Calculations!G77</f>
        <v>16.891559670588233</v>
      </c>
      <c r="L55" s="2">
        <f>Calculations!G78</f>
        <v>434.88053777510237</v>
      </c>
      <c r="M55" s="2">
        <f>Calculations!G79</f>
        <v>501.09357487566825</v>
      </c>
      <c r="N55" s="2">
        <f>Calculations!G80</f>
        <v>212.64013320000004</v>
      </c>
      <c r="O55" s="2">
        <f>Calculations!G81</f>
        <v>215.97871653333337</v>
      </c>
      <c r="Q55" s="7"/>
    </row>
    <row r="56" spans="1:17" x14ac:dyDescent="0.3">
      <c r="A56" t="s">
        <v>443</v>
      </c>
      <c r="B56" s="2">
        <f>Calculations!$C68</f>
        <v>824.23636363636365</v>
      </c>
      <c r="C56" s="2">
        <f>Calculations!$C69</f>
        <v>709.56</v>
      </c>
      <c r="D56" s="2">
        <f>Calculations!$C70</f>
        <v>38.524090909090908</v>
      </c>
      <c r="E56" s="2">
        <f>Calculations!$C71</f>
        <v>30.916542857142854</v>
      </c>
      <c r="F56" s="2">
        <f>Calculations!$C72</f>
        <v>197.72138181818181</v>
      </c>
      <c r="G56" s="2">
        <f>Calculations!$C73</f>
        <v>172.93387199999998</v>
      </c>
      <c r="H56" s="2">
        <f>Calculations!$C74</f>
        <v>189.49827272727273</v>
      </c>
      <c r="I56" s="2">
        <f>Calculations!$C75</f>
        <v>165.74166</v>
      </c>
      <c r="J56" s="2">
        <f>Calculations!$C76</f>
        <v>8.5447058823529414</v>
      </c>
      <c r="K56" s="2">
        <f>Calculations!$C77</f>
        <v>9.1143529411764703</v>
      </c>
      <c r="L56" s="2">
        <f>Calculations!$C78</f>
        <v>362.27272727272725</v>
      </c>
      <c r="M56" s="2">
        <f>Calculations!$C79</f>
        <v>438.35</v>
      </c>
      <c r="N56" s="2">
        <f>Calculations!$C80</f>
        <v>209.21250000000003</v>
      </c>
      <c r="O56" s="2">
        <f>Calculations!$C81</f>
        <v>212.53333333333336</v>
      </c>
      <c r="Q56" s="7"/>
    </row>
    <row r="57" spans="1:17" x14ac:dyDescent="0.3">
      <c r="A57" t="s">
        <v>444</v>
      </c>
      <c r="B57" s="2">
        <f>Calculations!$D68</f>
        <v>12.933062185839439</v>
      </c>
      <c r="C57" s="2">
        <f>Calculations!$D69</f>
        <v>11.133679620853082</v>
      </c>
      <c r="D57" s="2">
        <f>Calculations!$D70</f>
        <v>0.60448008042510415</v>
      </c>
      <c r="E57" s="2">
        <f>Calculations!$D71</f>
        <v>0.48511032633716994</v>
      </c>
      <c r="F57" s="2">
        <f>Calculations!$D72</f>
        <v>0.73043028005170185</v>
      </c>
      <c r="G57" s="2">
        <f>Calculations!$D73</f>
        <v>0.63885926445497632</v>
      </c>
      <c r="H57" s="2">
        <f>Calculations!$D74</f>
        <v>1.5487153106419649</v>
      </c>
      <c r="I57" s="2">
        <f>Calculations!$D75</f>
        <v>1.3545592936492892</v>
      </c>
      <c r="J57" s="2">
        <f>Calculations!$D76</f>
        <v>5.4678235294117643</v>
      </c>
      <c r="K57" s="2">
        <f>Calculations!$D77</f>
        <v>5.4678235294117643</v>
      </c>
      <c r="L57" s="2">
        <f>Calculations!$D78</f>
        <v>1.712725549332184</v>
      </c>
      <c r="M57" s="2">
        <f>Calculations!$D79</f>
        <v>2.0723979146919431</v>
      </c>
      <c r="N57" s="2">
        <f>Calculations!$D80</f>
        <v>1.1182500000000002</v>
      </c>
      <c r="O57" s="2">
        <f>Calculations!$D81</f>
        <v>1.1360000000000001</v>
      </c>
      <c r="Q57" s="7"/>
    </row>
    <row r="58" spans="1:17" x14ac:dyDescent="0.3">
      <c r="A58" t="s">
        <v>335</v>
      </c>
      <c r="B58" s="2">
        <f>Calculations!$E68</f>
        <v>1.98</v>
      </c>
      <c r="C58" s="2">
        <f>Calculations!$E69</f>
        <v>1.98</v>
      </c>
      <c r="D58" s="2">
        <f>Calculations!$E70</f>
        <v>19.555841255000001</v>
      </c>
      <c r="E58" s="2">
        <f>Calculations!$E71</f>
        <v>19.555841255000001</v>
      </c>
      <c r="F58" s="2">
        <f>Calculations!$E72</f>
        <v>9</v>
      </c>
      <c r="G58" s="2">
        <f>Calculations!$E73</f>
        <v>9</v>
      </c>
      <c r="H58" s="2">
        <f>Calculations!$E74</f>
        <v>9</v>
      </c>
      <c r="I58" s="2">
        <f>Calculations!$E75</f>
        <v>9</v>
      </c>
      <c r="J58" s="2">
        <f>Calculations!$E76</f>
        <v>0.68</v>
      </c>
      <c r="K58" s="2">
        <f>Calculations!$E77</f>
        <v>0.68</v>
      </c>
      <c r="L58" s="2">
        <f>Calculations!$E78</f>
        <v>1.98</v>
      </c>
      <c r="M58" s="2">
        <f>Calculations!$E79</f>
        <v>1.98</v>
      </c>
      <c r="N58" s="2">
        <f>Calculations!$E80</f>
        <v>0.68</v>
      </c>
      <c r="O58" s="2">
        <f>Calculations!$E81</f>
        <v>0.68</v>
      </c>
      <c r="Q58" s="7"/>
    </row>
    <row r="59" spans="1:17" x14ac:dyDescent="0.3">
      <c r="A59" t="s">
        <v>336</v>
      </c>
      <c r="B59" s="2">
        <f>Calculations!$F68</f>
        <v>59.48939665202326</v>
      </c>
      <c r="C59" s="2">
        <f>Calculations!$F69</f>
        <v>52.470222682303309</v>
      </c>
      <c r="D59" s="2">
        <f>Calculations!$F70</f>
        <v>59.48939665202326</v>
      </c>
      <c r="E59" s="2">
        <f>Calculations!$F71</f>
        <v>52.470222682303309</v>
      </c>
      <c r="F59" s="2">
        <f>Calculations!$F72</f>
        <v>74.270844432195176</v>
      </c>
      <c r="G59" s="2">
        <f>Calculations!$F73</f>
        <v>53.425337015047383</v>
      </c>
      <c r="H59" s="2">
        <f>Calculations!$F74</f>
        <v>41.066550742693515</v>
      </c>
      <c r="I59" s="2">
        <f>Calculations!$F75</f>
        <v>31.510503179976308</v>
      </c>
      <c r="J59" s="2">
        <f>Calculations!$F76</f>
        <v>1.6293832000000004</v>
      </c>
      <c r="K59" s="2">
        <f>Calculations!$F77</f>
        <v>1.6293832000000004</v>
      </c>
      <c r="L59" s="2">
        <f>Calculations!$F78</f>
        <v>68.915084953042921</v>
      </c>
      <c r="M59" s="2">
        <f>Calculations!$F79</f>
        <v>58.6911769609763</v>
      </c>
      <c r="N59" s="2">
        <f>Calculations!$F80</f>
        <v>1.6293832000000004</v>
      </c>
      <c r="O59" s="2">
        <f>Calculations!$F81</f>
        <v>1.6293832000000004</v>
      </c>
      <c r="Q59" s="7"/>
    </row>
    <row r="60" spans="1:17" x14ac:dyDescent="0.3">
      <c r="B60" s="2"/>
      <c r="C60" s="2"/>
      <c r="D60" s="2"/>
      <c r="E60" s="2"/>
      <c r="F60" s="2"/>
      <c r="G60" s="2"/>
      <c r="H60" s="2"/>
      <c r="I60" s="2"/>
      <c r="J60" s="2"/>
      <c r="K60" s="2"/>
      <c r="L60" s="2"/>
      <c r="M60" s="2"/>
      <c r="N60" s="2"/>
      <c r="O60" s="2"/>
      <c r="Q60" s="7"/>
    </row>
    <row r="61" spans="1:17" x14ac:dyDescent="0.3">
      <c r="A61" s="1" t="s">
        <v>72</v>
      </c>
      <c r="B61" s="2">
        <f>SUM(B62:B80)</f>
        <v>111.25220281818183</v>
      </c>
      <c r="C61" s="2">
        <f t="shared" ref="C61:O61" si="0">SUM(C62:C80)</f>
        <v>104.038821</v>
      </c>
      <c r="D61" s="2">
        <f t="shared" si="0"/>
        <v>94.641644190909091</v>
      </c>
      <c r="E61" s="2">
        <f t="shared" si="0"/>
        <v>87.702950528571421</v>
      </c>
      <c r="F61" s="2">
        <f t="shared" si="0"/>
        <v>62.178664636363628</v>
      </c>
      <c r="G61" s="2">
        <f t="shared" si="0"/>
        <v>61.831069799999987</v>
      </c>
      <c r="H61" s="2">
        <f t="shared" si="0"/>
        <v>65.228572636363637</v>
      </c>
      <c r="I61" s="2">
        <f t="shared" si="0"/>
        <v>64.498623479999992</v>
      </c>
      <c r="J61" s="2">
        <f t="shared" si="0"/>
        <v>70.712231241176468</v>
      </c>
      <c r="K61" s="2">
        <f t="shared" si="0"/>
        <v>71.459283670588221</v>
      </c>
      <c r="L61" s="2">
        <f t="shared" si="0"/>
        <v>66.168566454545442</v>
      </c>
      <c r="M61" s="2">
        <f t="shared" si="0"/>
        <v>67.588701</v>
      </c>
      <c r="N61" s="2">
        <f t="shared" si="0"/>
        <v>63.311390999999986</v>
      </c>
      <c r="O61" s="2">
        <f t="shared" si="0"/>
        <v>63.373380999999988</v>
      </c>
      <c r="Q61" s="7"/>
    </row>
    <row r="62" spans="1:17" x14ac:dyDescent="0.3">
      <c r="A62" t="s">
        <v>373</v>
      </c>
      <c r="B62" s="2">
        <f>Calculations!$E$103</f>
        <v>9.7864852799999991</v>
      </c>
      <c r="C62" s="2">
        <f>Calculations!$E$103</f>
        <v>9.7864852799999991</v>
      </c>
      <c r="D62" s="2">
        <f>Calculations!$E$103</f>
        <v>9.7864852799999991</v>
      </c>
      <c r="E62" s="2">
        <f>Calculations!$E$103</f>
        <v>9.7864852799999991</v>
      </c>
      <c r="F62" s="2">
        <f>Calculations!$E$103</f>
        <v>9.7864852799999991</v>
      </c>
      <c r="G62" s="2">
        <f>Calculations!$E$103</f>
        <v>9.7864852799999991</v>
      </c>
      <c r="H62" s="2">
        <f>Calculations!$E$103</f>
        <v>9.7864852799999991</v>
      </c>
      <c r="I62" s="2">
        <f>Calculations!$E$103</f>
        <v>9.7864852799999991</v>
      </c>
      <c r="J62" s="2">
        <f>Calculations!$E$103</f>
        <v>9.7864852799999991</v>
      </c>
      <c r="K62" s="2">
        <f>Calculations!$E$103</f>
        <v>9.7864852799999991</v>
      </c>
      <c r="L62" s="2">
        <f>Calculations!$E$103</f>
        <v>9.7864852799999991</v>
      </c>
      <c r="M62" s="2">
        <f>Calculations!$E$103</f>
        <v>9.7864852799999991</v>
      </c>
      <c r="N62" s="2">
        <f>Calculations!$E$103</f>
        <v>9.7864852799999991</v>
      </c>
      <c r="O62" s="2">
        <f>Calculations!$E$103</f>
        <v>9.7864852799999991</v>
      </c>
      <c r="Q62" s="7"/>
    </row>
    <row r="63" spans="1:17" x14ac:dyDescent="0.3">
      <c r="A63" t="s">
        <v>445</v>
      </c>
      <c r="B63" s="2">
        <f>IF('User inputs'!$B$7="UK",Calculations!$E$104,IF('User inputs'!$B$7="US",Calculations!$E$106,IF('User inputs'!$B$7="EU",Calculations!$E$105,IF('User inputs'!$B$7="AU/NZ",Calculations!$E$107,0))))</f>
        <v>8.1082919999999989E-2</v>
      </c>
      <c r="C63" s="2">
        <f>IF('User inputs'!$B$7="UK",Calculations!$E$104,IF('User inputs'!$B$7="US",Calculations!$E$106,IF('User inputs'!$B$7="EU",Calculations!$E$105,IF('User inputs'!$B$7="AU/NZ",Calculations!$E$107,0))))</f>
        <v>8.1082919999999989E-2</v>
      </c>
      <c r="D63" s="2">
        <f>IF('User inputs'!$B$7="UK",Calculations!$E$104,IF('User inputs'!$B$7="US",Calculations!$E$106,IF('User inputs'!$B$7="EU",Calculations!$E$105,IF('User inputs'!$B$7="AU/NZ",Calculations!$E$107,0))))</f>
        <v>8.1082919999999989E-2</v>
      </c>
      <c r="E63" s="2">
        <f>IF('User inputs'!$B$7="UK",Calculations!$E$104,IF('User inputs'!$B$7="US",Calculations!$E$106,IF('User inputs'!$B$7="EU",Calculations!$E$105,IF('User inputs'!$B$7="AU/NZ",Calculations!$E$107,0))))</f>
        <v>8.1082919999999989E-2</v>
      </c>
      <c r="F63" s="2">
        <f>IF('User inputs'!$B$7="UK",Calculations!$E$104,IF('User inputs'!$B$7="US",Calculations!$E$106,IF('User inputs'!$B$7="EU",Calculations!$E$105,IF('User inputs'!$B$7="AU/NZ",Calculations!$E$107,0))))</f>
        <v>8.1082919999999989E-2</v>
      </c>
      <c r="G63" s="2">
        <f>IF('User inputs'!$B$7="UK",Calculations!$E$104,IF('User inputs'!$B$7="US",Calculations!$E$106,IF('User inputs'!$B$7="EU",Calculations!$E$105,IF('User inputs'!$B$7="AU/NZ",Calculations!$E$107,0))))</f>
        <v>8.1082919999999989E-2</v>
      </c>
      <c r="H63" s="2">
        <f>IF('User inputs'!$B$7="UK",Calculations!$E$104,IF('User inputs'!$B$7="US",Calculations!$E$106,IF('User inputs'!$B$7="EU",Calculations!$E$105,IF('User inputs'!$B$7="AU/NZ",Calculations!$E$107,0))))</f>
        <v>8.1082919999999989E-2</v>
      </c>
      <c r="I63" s="2">
        <f>IF('User inputs'!$B$7="UK",Calculations!$E$104,IF('User inputs'!$B$7="US",Calculations!$E$106,IF('User inputs'!$B$7="EU",Calculations!$E$105,IF('User inputs'!$B$7="AU/NZ",Calculations!$E$107,0))))</f>
        <v>8.1082919999999989E-2</v>
      </c>
      <c r="J63" s="2">
        <f>IF('User inputs'!$B$7="UK",Calculations!$E$104,IF('User inputs'!$B$7="US",Calculations!$E$106,IF('User inputs'!$B$7="EU",Calculations!$E$105,IF('User inputs'!$B$7="AU/NZ",Calculations!$E$107,0))))</f>
        <v>8.1082919999999989E-2</v>
      </c>
      <c r="K63" s="2">
        <f>IF('User inputs'!$B$7="UK",Calculations!$E$104,IF('User inputs'!$B$7="US",Calculations!$E$106,IF('User inputs'!$B$7="EU",Calculations!$E$105,IF('User inputs'!$B$7="AU/NZ",Calculations!$E$107,0))))</f>
        <v>8.1082919999999989E-2</v>
      </c>
      <c r="L63" s="2">
        <f>IF('User inputs'!$B$7="UK",Calculations!$E$104,IF('User inputs'!$B$7="US",Calculations!$E$106,IF('User inputs'!$B$7="EU",Calculations!$E$105,IF('User inputs'!$B$7="AU/NZ",Calculations!$E$107,0))))</f>
        <v>8.1082919999999989E-2</v>
      </c>
      <c r="M63" s="2">
        <f>IF('User inputs'!$B$7="UK",Calculations!$E$104,IF('User inputs'!$B$7="US",Calculations!$E$106,IF('User inputs'!$B$7="EU",Calculations!$E$105,IF('User inputs'!$B$7="AU/NZ",Calculations!$E$107,0))))</f>
        <v>8.1082919999999989E-2</v>
      </c>
      <c r="N63" s="2">
        <f>IF('User inputs'!$B$7="UK",Calculations!$E$104,IF('User inputs'!$B$7="US",Calculations!$E$106,IF('User inputs'!$B$7="EU",Calculations!$E$105,IF('User inputs'!$B$7="AU/NZ",Calculations!$E$107,0))))</f>
        <v>8.1082919999999989E-2</v>
      </c>
      <c r="O63" s="2">
        <f>IF('User inputs'!$B$7="UK",Calculations!$E$104,IF('User inputs'!$B$7="US",Calculations!$E$106,IF('User inputs'!$B$7="EU",Calculations!$E$105,IF('User inputs'!$B$7="AU/NZ",Calculations!$E$107,0))))</f>
        <v>8.1082919999999989E-2</v>
      </c>
      <c r="P63" s="2"/>
      <c r="Q63" s="7"/>
    </row>
    <row r="64" spans="1:17" x14ac:dyDescent="0.3">
      <c r="A64" t="s">
        <v>378</v>
      </c>
      <c r="B64" s="2">
        <f>Calculations!$E$108</f>
        <v>6.8436960000000004</v>
      </c>
      <c r="C64" s="2">
        <f>Calculations!$E$108</f>
        <v>6.8436960000000004</v>
      </c>
      <c r="D64" s="2">
        <f>Calculations!$E$108</f>
        <v>6.8436960000000004</v>
      </c>
      <c r="E64" s="2">
        <f>Calculations!$E$108</f>
        <v>6.8436960000000004</v>
      </c>
      <c r="F64" s="2">
        <f>Calculations!$E$108</f>
        <v>6.8436960000000004</v>
      </c>
      <c r="G64" s="2">
        <f>Calculations!$E$108</f>
        <v>6.8436960000000004</v>
      </c>
      <c r="H64" s="2">
        <f>Calculations!$E$108</f>
        <v>6.8436960000000004</v>
      </c>
      <c r="I64" s="2">
        <f>Calculations!$E$108</f>
        <v>6.8436960000000004</v>
      </c>
      <c r="J64" s="2">
        <f>Calculations!$E$108</f>
        <v>6.8436960000000004</v>
      </c>
      <c r="K64" s="2">
        <f>Calculations!$E$108</f>
        <v>6.8436960000000004</v>
      </c>
      <c r="L64" s="2">
        <f>Calculations!$E$108</f>
        <v>6.8436960000000004</v>
      </c>
      <c r="M64" s="2">
        <f>Calculations!$E$108</f>
        <v>6.8436960000000004</v>
      </c>
      <c r="N64" s="2">
        <f>Calculations!$E$108</f>
        <v>6.8436960000000004</v>
      </c>
      <c r="O64" s="2">
        <f>Calculations!$E$108</f>
        <v>6.8436960000000004</v>
      </c>
      <c r="Q64" s="7"/>
    </row>
    <row r="65" spans="1:17" x14ac:dyDescent="0.3">
      <c r="A65" t="s">
        <v>446</v>
      </c>
      <c r="B65" s="2">
        <f>Calculations!$E$109</f>
        <v>65.348730909090918</v>
      </c>
      <c r="C65" s="2">
        <f>Calculations!E110</f>
        <v>61.74204000000001</v>
      </c>
      <c r="D65" s="2">
        <f>Calculations!E111</f>
        <v>73.351076363636366</v>
      </c>
      <c r="E65" s="2">
        <f>Calculations!E112</f>
        <v>66.651647999999994</v>
      </c>
      <c r="F65" s="2">
        <f>Calculations!E113</f>
        <v>40.811961818181821</v>
      </c>
      <c r="G65" s="2">
        <f>Calculations!E114</f>
        <v>40.638164400000001</v>
      </c>
      <c r="H65" s="2">
        <f>Calculations!E115</f>
        <v>42.336915818181822</v>
      </c>
      <c r="I65" s="2">
        <f>Calculations!E116</f>
        <v>41.97194124</v>
      </c>
      <c r="J65" s="2">
        <f>Calculations!E117</f>
        <v>50.583840000000002</v>
      </c>
      <c r="K65" s="2">
        <f>Calculations!E118</f>
        <v>51.327720000000006</v>
      </c>
      <c r="L65" s="2">
        <f>Calculations!E119</f>
        <v>42.806912727272724</v>
      </c>
      <c r="M65" s="2">
        <f>Calculations!E120</f>
        <v>43.516980000000011</v>
      </c>
      <c r="N65" s="2">
        <f>Calculations!E121</f>
        <v>41.378324999999997</v>
      </c>
      <c r="O65" s="2">
        <f>Calculations!E122</f>
        <v>41.409320000000001</v>
      </c>
      <c r="Q65" s="7"/>
    </row>
    <row r="66" spans="1:17" x14ac:dyDescent="0.3">
      <c r="A66" t="s">
        <v>393</v>
      </c>
      <c r="B66" s="2">
        <f>Calculations!$E$123</f>
        <v>6.5089499999999995E-2</v>
      </c>
      <c r="C66" s="2">
        <f>Calculations!$E$123</f>
        <v>6.5089499999999995E-2</v>
      </c>
      <c r="D66" s="2">
        <f>Calculations!$E$123</f>
        <v>6.5089499999999995E-2</v>
      </c>
      <c r="E66" s="2">
        <f>Calculations!$E$123</f>
        <v>6.5089499999999995E-2</v>
      </c>
      <c r="F66" s="2">
        <f>Calculations!$E$123</f>
        <v>6.5089499999999995E-2</v>
      </c>
      <c r="G66" s="2">
        <f>Calculations!$E$123</f>
        <v>6.5089499999999995E-2</v>
      </c>
      <c r="H66" s="2">
        <f>Calculations!$E$123</f>
        <v>6.5089499999999995E-2</v>
      </c>
      <c r="I66" s="2">
        <f>Calculations!$E$123</f>
        <v>6.5089499999999995E-2</v>
      </c>
      <c r="J66" s="2">
        <f>Calculations!$E$123</f>
        <v>6.5089499999999995E-2</v>
      </c>
      <c r="K66" s="2">
        <f>Calculations!$E$123</f>
        <v>6.5089499999999995E-2</v>
      </c>
      <c r="L66" s="2">
        <f>Calculations!$E$123</f>
        <v>6.5089499999999995E-2</v>
      </c>
      <c r="M66" s="2">
        <f>Calculations!$E$123</f>
        <v>6.5089499999999995E-2</v>
      </c>
      <c r="N66" s="2">
        <f>Calculations!$E$123</f>
        <v>6.5089499999999995E-2</v>
      </c>
      <c r="O66" s="2">
        <f>Calculations!$E$123</f>
        <v>6.5089499999999995E-2</v>
      </c>
      <c r="Q66" s="7"/>
    </row>
    <row r="67" spans="1:17" x14ac:dyDescent="0.3">
      <c r="A67" t="s">
        <v>447</v>
      </c>
      <c r="B67" s="2">
        <f>Calculations!$E$124</f>
        <v>0.16737299999999997</v>
      </c>
      <c r="C67" s="2">
        <f>Calculations!$E$124</f>
        <v>0.16737299999999997</v>
      </c>
      <c r="D67" s="2">
        <f>Calculations!$E$124+Calculations!E125</f>
        <v>0.26593709999999998</v>
      </c>
      <c r="E67" s="2">
        <f>Calculations!$E$124+Calculations!E125</f>
        <v>0.26593709999999998</v>
      </c>
      <c r="F67" s="2">
        <f>Calculations!$E$124</f>
        <v>0.16737299999999997</v>
      </c>
      <c r="G67" s="2">
        <f>Calculations!$E$124</f>
        <v>0.16737299999999997</v>
      </c>
      <c r="H67" s="2">
        <f>Calculations!$E$124</f>
        <v>0.16737299999999997</v>
      </c>
      <c r="I67" s="2">
        <f>Calculations!$E$124</f>
        <v>0.16737299999999997</v>
      </c>
      <c r="J67" s="2">
        <f>Calculations!$E$124+Calculations!E126</f>
        <v>0.18411029999999998</v>
      </c>
      <c r="K67" s="2">
        <f>Calculations!$E$124+Calculations!E127</f>
        <v>0.17853119999999997</v>
      </c>
      <c r="L67" s="2">
        <f>Calculations!$E$124</f>
        <v>0.16737299999999997</v>
      </c>
      <c r="M67" s="2">
        <f>Calculations!$E$124</f>
        <v>0.16737299999999997</v>
      </c>
      <c r="N67" s="2">
        <f>Calculations!$E$124</f>
        <v>0.16737299999999997</v>
      </c>
      <c r="O67" s="2">
        <f>Calculations!$E$124</f>
        <v>0.16737299999999997</v>
      </c>
      <c r="Q67" s="7"/>
    </row>
    <row r="68" spans="1:17" x14ac:dyDescent="0.3">
      <c r="A68" t="s">
        <v>398</v>
      </c>
      <c r="B68" s="2">
        <f>Calculations!E128</f>
        <v>2.0456700000000001E-2</v>
      </c>
      <c r="C68" s="2">
        <f>Calculations!E128</f>
        <v>2.0456700000000001E-2</v>
      </c>
      <c r="D68" s="2">
        <f>Calculations!E128</f>
        <v>2.0456700000000001E-2</v>
      </c>
      <c r="E68" s="2">
        <f>Calculations!E128</f>
        <v>2.0456700000000001E-2</v>
      </c>
      <c r="F68" s="2">
        <f>Calculations!E128</f>
        <v>2.0456700000000001E-2</v>
      </c>
      <c r="G68" s="2">
        <f>Calculations!E128</f>
        <v>2.0456700000000001E-2</v>
      </c>
      <c r="H68" s="2">
        <f>Calculations!E128</f>
        <v>2.0456700000000001E-2</v>
      </c>
      <c r="I68" s="2">
        <f>Calculations!E128</f>
        <v>2.0456700000000001E-2</v>
      </c>
      <c r="J68" s="2">
        <f>Calculations!E128</f>
        <v>2.0456700000000001E-2</v>
      </c>
      <c r="K68" s="2">
        <f>Calculations!E128</f>
        <v>2.0456700000000001E-2</v>
      </c>
      <c r="L68" s="2">
        <f>Calculations!E128</f>
        <v>2.0456700000000001E-2</v>
      </c>
      <c r="M68" s="2">
        <f>Calculations!E128</f>
        <v>2.0456700000000001E-2</v>
      </c>
      <c r="N68" s="2">
        <f>Calculations!E128</f>
        <v>2.0456700000000001E-2</v>
      </c>
      <c r="O68" s="2">
        <f>Calculations!E128</f>
        <v>2.0456700000000001E-2</v>
      </c>
      <c r="Q68" s="7"/>
    </row>
    <row r="69" spans="1:17" x14ac:dyDescent="0.3">
      <c r="A69" t="s">
        <v>399</v>
      </c>
      <c r="B69" s="2">
        <f>Calculations!E129</f>
        <v>6.3229799999999989E-2</v>
      </c>
      <c r="C69" s="2">
        <f>Calculations!E129</f>
        <v>6.3229799999999989E-2</v>
      </c>
      <c r="D69" s="2">
        <f>Calculations!E129</f>
        <v>6.3229799999999989E-2</v>
      </c>
      <c r="E69" s="2">
        <f>Calculations!E129</f>
        <v>6.3229799999999989E-2</v>
      </c>
      <c r="F69" s="2">
        <f>Calculations!E129</f>
        <v>6.3229799999999989E-2</v>
      </c>
      <c r="G69" s="2">
        <f>Calculations!E129</f>
        <v>6.3229799999999989E-2</v>
      </c>
      <c r="H69" s="2">
        <f>Calculations!E129</f>
        <v>6.3229799999999989E-2</v>
      </c>
      <c r="I69" s="2">
        <f>Calculations!E129</f>
        <v>6.3229799999999989E-2</v>
      </c>
      <c r="J69" s="2">
        <f>Calculations!E129</f>
        <v>6.3229799999999989E-2</v>
      </c>
      <c r="K69" s="2">
        <f>Calculations!E129</f>
        <v>6.3229799999999989E-2</v>
      </c>
      <c r="L69" s="2">
        <f>Calculations!E129</f>
        <v>6.3229799999999989E-2</v>
      </c>
      <c r="M69" s="2">
        <f>Calculations!E129</f>
        <v>6.3229799999999989E-2</v>
      </c>
      <c r="N69" s="2">
        <f>Calculations!E129</f>
        <v>6.3229799999999989E-2</v>
      </c>
      <c r="O69" s="2">
        <f>Calculations!E129</f>
        <v>6.3229799999999989E-2</v>
      </c>
      <c r="Q69" s="7"/>
    </row>
    <row r="70" spans="1:17" x14ac:dyDescent="0.3">
      <c r="A70" t="s">
        <v>448</v>
      </c>
      <c r="B70" s="2">
        <f>Calculations!$E140</f>
        <v>25.923090909090909</v>
      </c>
      <c r="C70" s="2">
        <f>Calculations!$E141</f>
        <v>22.316399999999998</v>
      </c>
      <c r="D70" s="2">
        <f>Calculations!$E142</f>
        <v>1.2116227272727274</v>
      </c>
      <c r="E70" s="2">
        <f>Calculations!$E143</f>
        <v>0.97235742857142848</v>
      </c>
      <c r="F70" s="2">
        <f>Calculations!$E144</f>
        <v>1.386321818181818</v>
      </c>
      <c r="G70" s="2">
        <f>Calculations!$E145</f>
        <v>1.2125243999999999</v>
      </c>
      <c r="H70" s="2">
        <f>Calculations!$E146</f>
        <v>2.9112758181818181</v>
      </c>
      <c r="I70" s="2">
        <f>Calculations!$E147</f>
        <v>2.5463012399999996</v>
      </c>
      <c r="J70" s="2">
        <f>Calculations!$E148</f>
        <v>0.13127294117647059</v>
      </c>
      <c r="K70" s="2">
        <f>Calculations!$E149</f>
        <v>0.14002447058823528</v>
      </c>
      <c r="L70" s="2">
        <f>Calculations!$E150</f>
        <v>3.381272727272727</v>
      </c>
      <c r="M70" s="2">
        <f>Calculations!$E151</f>
        <v>4.0913399999999998</v>
      </c>
      <c r="N70" s="2">
        <f>Calculations!$E152</f>
        <v>1.952685</v>
      </c>
      <c r="O70" s="2">
        <f>Calculations!$E153</f>
        <v>1.9836800000000003</v>
      </c>
      <c r="Q70" s="7"/>
    </row>
    <row r="71" spans="1:17" x14ac:dyDescent="0.3">
      <c r="A71" t="s">
        <v>400</v>
      </c>
      <c r="B71" s="2">
        <f>Calculations!$E130</f>
        <v>2.8781568000000002</v>
      </c>
      <c r="C71" s="2">
        <f>Calculations!$E130</f>
        <v>2.8781568000000002</v>
      </c>
      <c r="D71" s="2">
        <f>Calculations!$E130</f>
        <v>2.8781568000000002</v>
      </c>
      <c r="E71" s="2">
        <f>Calculations!$E130</f>
        <v>2.8781568000000002</v>
      </c>
      <c r="F71" s="2">
        <f>Calculations!$E130</f>
        <v>2.8781568000000002</v>
      </c>
      <c r="G71" s="2">
        <f>Calculations!$E130</f>
        <v>2.8781568000000002</v>
      </c>
      <c r="H71" s="2">
        <f>Calculations!$E130</f>
        <v>2.8781568000000002</v>
      </c>
      <c r="I71" s="2">
        <f>Calculations!$E130</f>
        <v>2.8781568000000002</v>
      </c>
      <c r="J71" s="2">
        <f>Calculations!$E130</f>
        <v>2.8781568000000002</v>
      </c>
      <c r="K71" s="2">
        <f>Calculations!$E130</f>
        <v>2.8781568000000002</v>
      </c>
      <c r="L71" s="2">
        <f>Calculations!$E130</f>
        <v>2.8781568000000002</v>
      </c>
      <c r="M71" s="2">
        <f>Calculations!$E130</f>
        <v>2.8781568000000002</v>
      </c>
      <c r="N71" s="2">
        <f>Calculations!$E130</f>
        <v>2.8781568000000002</v>
      </c>
      <c r="O71" s="2">
        <f>Calculations!$E130</f>
        <v>2.8781568000000002</v>
      </c>
    </row>
    <row r="72" spans="1:17" x14ac:dyDescent="0.3">
      <c r="A72" t="s">
        <v>44</v>
      </c>
      <c r="B72" s="2">
        <f>Calculations!$E131</f>
        <v>1.8596999999999999E-2</v>
      </c>
      <c r="C72" s="2">
        <f>Calculations!$E131</f>
        <v>1.8596999999999999E-2</v>
      </c>
      <c r="D72" s="2">
        <f>Calculations!$E131</f>
        <v>1.8596999999999999E-2</v>
      </c>
      <c r="E72" s="2">
        <f>Calculations!$E131</f>
        <v>1.8596999999999999E-2</v>
      </c>
      <c r="F72" s="2">
        <f>Calculations!$E131</f>
        <v>1.8596999999999999E-2</v>
      </c>
      <c r="G72" s="2">
        <f>Calculations!$E131</f>
        <v>1.8596999999999999E-2</v>
      </c>
      <c r="H72" s="2">
        <f>Calculations!$E131</f>
        <v>1.8596999999999999E-2</v>
      </c>
      <c r="I72" s="2">
        <f>Calculations!$E131</f>
        <v>1.8596999999999999E-2</v>
      </c>
      <c r="J72" s="2">
        <f>Calculations!$E131</f>
        <v>1.8596999999999999E-2</v>
      </c>
      <c r="K72" s="2">
        <f>Calculations!$E131</f>
        <v>1.8596999999999999E-2</v>
      </c>
      <c r="L72" s="2">
        <f>Calculations!$E131</f>
        <v>1.8596999999999999E-2</v>
      </c>
      <c r="M72" s="2">
        <f>Calculations!$E131</f>
        <v>1.8596999999999999E-2</v>
      </c>
      <c r="N72" s="2">
        <f>Calculations!$E131</f>
        <v>1.8596999999999999E-2</v>
      </c>
      <c r="O72" s="2">
        <f>Calculations!$E131</f>
        <v>1.8596999999999999E-2</v>
      </c>
    </row>
    <row r="73" spans="1:17" x14ac:dyDescent="0.3">
      <c r="A73" t="s">
        <v>46</v>
      </c>
      <c r="B73" s="2">
        <f>Calculations!$E132</f>
        <v>5.6214E-2</v>
      </c>
      <c r="C73" s="2">
        <f>Calculations!$E132</f>
        <v>5.6214E-2</v>
      </c>
      <c r="D73" s="2">
        <f>Calculations!$E132</f>
        <v>5.6214E-2</v>
      </c>
      <c r="E73" s="2">
        <f>Calculations!$E132</f>
        <v>5.6214E-2</v>
      </c>
      <c r="F73" s="2">
        <f>Calculations!$E132</f>
        <v>5.6214E-2</v>
      </c>
      <c r="G73" s="2">
        <f>Calculations!$E132</f>
        <v>5.6214E-2</v>
      </c>
      <c r="H73" s="2">
        <f>Calculations!$E132</f>
        <v>5.6214E-2</v>
      </c>
      <c r="I73" s="2">
        <f>Calculations!$E132</f>
        <v>5.6214E-2</v>
      </c>
      <c r="J73" s="2">
        <f>Calculations!$E132</f>
        <v>5.6214E-2</v>
      </c>
      <c r="K73" s="2">
        <f>Calculations!$E132</f>
        <v>5.6214E-2</v>
      </c>
      <c r="L73" s="2">
        <f>Calculations!$E132</f>
        <v>5.6214E-2</v>
      </c>
      <c r="M73" s="2">
        <f>Calculations!$E132</f>
        <v>5.6214E-2</v>
      </c>
      <c r="N73" s="2">
        <f>Calculations!$E132</f>
        <v>5.6214E-2</v>
      </c>
      <c r="O73" s="2">
        <f>Calculations!$E132</f>
        <v>5.6214E-2</v>
      </c>
    </row>
    <row r="74" spans="1:17" x14ac:dyDescent="0.3">
      <c r="A74" t="s">
        <v>47</v>
      </c>
      <c r="B74" s="2">
        <f>Calculations!$E133</f>
        <v>0</v>
      </c>
      <c r="C74" s="2">
        <f>Calculations!$E133</f>
        <v>0</v>
      </c>
      <c r="D74" s="2">
        <f>Calculations!$E133</f>
        <v>0</v>
      </c>
      <c r="E74" s="2">
        <f>Calculations!$E133</f>
        <v>0</v>
      </c>
      <c r="F74" s="2">
        <f>Calculations!$E133</f>
        <v>0</v>
      </c>
      <c r="G74" s="2">
        <f>Calculations!$E133</f>
        <v>0</v>
      </c>
      <c r="H74" s="2">
        <f>Calculations!$E133</f>
        <v>0</v>
      </c>
      <c r="I74" s="2">
        <f>Calculations!$E133</f>
        <v>0</v>
      </c>
      <c r="J74" s="2">
        <f>Calculations!$E133</f>
        <v>0</v>
      </c>
      <c r="K74" s="2">
        <f>Calculations!$E133</f>
        <v>0</v>
      </c>
      <c r="L74" s="2">
        <f>Calculations!$E133</f>
        <v>0</v>
      </c>
      <c r="M74" s="2">
        <f>Calculations!$E133</f>
        <v>0</v>
      </c>
      <c r="N74" s="2">
        <f>Calculations!$E133</f>
        <v>0</v>
      </c>
      <c r="O74" s="2">
        <f>Calculations!$E133</f>
        <v>0</v>
      </c>
    </row>
    <row r="75" spans="1:17" x14ac:dyDescent="0.3">
      <c r="A75" t="s">
        <v>48</v>
      </c>
      <c r="B75" s="2">
        <f>Calculations!$E134</f>
        <v>0</v>
      </c>
      <c r="C75" s="2">
        <f>Calculations!$E134</f>
        <v>0</v>
      </c>
      <c r="D75" s="2">
        <f>Calculations!$E134</f>
        <v>0</v>
      </c>
      <c r="E75" s="2">
        <f>Calculations!$E134</f>
        <v>0</v>
      </c>
      <c r="F75" s="2">
        <f>Calculations!$E134</f>
        <v>0</v>
      </c>
      <c r="G75" s="2">
        <f>Calculations!$E134</f>
        <v>0</v>
      </c>
      <c r="H75" s="2">
        <f>Calculations!$E134</f>
        <v>0</v>
      </c>
      <c r="I75" s="2">
        <f>Calculations!$E134</f>
        <v>0</v>
      </c>
      <c r="J75" s="2">
        <f>Calculations!$E134</f>
        <v>0</v>
      </c>
      <c r="K75" s="2">
        <f>Calculations!$E134</f>
        <v>0</v>
      </c>
      <c r="L75" s="2">
        <f>Calculations!$E134</f>
        <v>0</v>
      </c>
      <c r="M75" s="2">
        <f>Calculations!$E134</f>
        <v>0</v>
      </c>
      <c r="N75" s="2">
        <f>Calculations!$E134</f>
        <v>0</v>
      </c>
      <c r="O75" s="2">
        <f>Calculations!$E134</f>
        <v>0</v>
      </c>
    </row>
    <row r="76" spans="1:17" x14ac:dyDescent="0.3">
      <c r="A76" t="s">
        <v>49</v>
      </c>
      <c r="B76" s="2">
        <f>Calculations!$E135</f>
        <v>0</v>
      </c>
      <c r="C76" s="2">
        <f>Calculations!$E135</f>
        <v>0</v>
      </c>
      <c r="D76" s="2">
        <f>Calculations!$E135</f>
        <v>0</v>
      </c>
      <c r="E76" s="2">
        <f>Calculations!$E135</f>
        <v>0</v>
      </c>
      <c r="F76" s="2">
        <f>Calculations!$E135</f>
        <v>0</v>
      </c>
      <c r="G76" s="2">
        <f>Calculations!$E135</f>
        <v>0</v>
      </c>
      <c r="H76" s="2">
        <f>Calculations!$E135</f>
        <v>0</v>
      </c>
      <c r="I76" s="2">
        <f>Calculations!$E135</f>
        <v>0</v>
      </c>
      <c r="J76" s="2">
        <f>Calculations!$E135</f>
        <v>0</v>
      </c>
      <c r="K76" s="2">
        <f>Calculations!$E135</f>
        <v>0</v>
      </c>
      <c r="L76" s="2">
        <f>Calculations!$E135</f>
        <v>0</v>
      </c>
      <c r="M76" s="2">
        <f>Calculations!$E135</f>
        <v>0</v>
      </c>
      <c r="N76" s="2">
        <f>Calculations!$E135</f>
        <v>0</v>
      </c>
      <c r="O76" s="2">
        <f>Calculations!$E135</f>
        <v>0</v>
      </c>
    </row>
    <row r="77" spans="1:17" x14ac:dyDescent="0.3">
      <c r="A77" t="s">
        <v>50</v>
      </c>
      <c r="B77" s="2">
        <f>Calculations!$E136</f>
        <v>0</v>
      </c>
      <c r="C77" s="2">
        <f>Calculations!$E136</f>
        <v>0</v>
      </c>
      <c r="D77" s="2">
        <f>Calculations!$E136</f>
        <v>0</v>
      </c>
      <c r="E77" s="2">
        <f>Calculations!$E136</f>
        <v>0</v>
      </c>
      <c r="F77" s="2">
        <f>Calculations!$E136</f>
        <v>0</v>
      </c>
      <c r="G77" s="2">
        <f>Calculations!$E136</f>
        <v>0</v>
      </c>
      <c r="H77" s="2">
        <f>Calculations!$E136</f>
        <v>0</v>
      </c>
      <c r="I77" s="2">
        <f>Calculations!$E136</f>
        <v>0</v>
      </c>
      <c r="J77" s="2">
        <f>Calculations!$E136</f>
        <v>0</v>
      </c>
      <c r="K77" s="2">
        <f>Calculations!$E136</f>
        <v>0</v>
      </c>
      <c r="L77" s="2">
        <f>Calculations!$E136</f>
        <v>0</v>
      </c>
      <c r="M77" s="2">
        <f>Calculations!$E136</f>
        <v>0</v>
      </c>
      <c r="N77" s="2">
        <f>Calculations!$E136</f>
        <v>0</v>
      </c>
      <c r="O77" s="2">
        <f>Calculations!$E136</f>
        <v>0</v>
      </c>
    </row>
    <row r="78" spans="1:17" x14ac:dyDescent="0.3">
      <c r="A78" t="s">
        <v>51</v>
      </c>
      <c r="B78" s="2">
        <f>Calculations!$E137</f>
        <v>0</v>
      </c>
      <c r="C78" s="2">
        <f>Calculations!$E137</f>
        <v>0</v>
      </c>
      <c r="D78" s="2">
        <f>Calculations!$E137</f>
        <v>0</v>
      </c>
      <c r="E78" s="2">
        <f>Calculations!$E137</f>
        <v>0</v>
      </c>
      <c r="F78" s="2">
        <f>Calculations!$E137</f>
        <v>0</v>
      </c>
      <c r="G78" s="2">
        <f>Calculations!$E137</f>
        <v>0</v>
      </c>
      <c r="H78" s="2">
        <f>Calculations!$E137</f>
        <v>0</v>
      </c>
      <c r="I78" s="2">
        <f>Calculations!$E137</f>
        <v>0</v>
      </c>
      <c r="J78" s="2">
        <f>Calculations!$E137</f>
        <v>0</v>
      </c>
      <c r="K78" s="2">
        <f>Calculations!$E137</f>
        <v>0</v>
      </c>
      <c r="L78" s="2">
        <f>Calculations!$E137</f>
        <v>0</v>
      </c>
      <c r="M78" s="2">
        <f>Calculations!$E137</f>
        <v>0</v>
      </c>
      <c r="N78" s="2">
        <f>Calculations!$E137</f>
        <v>0</v>
      </c>
      <c r="O78" s="2">
        <f>Calculations!$E137</f>
        <v>0</v>
      </c>
    </row>
    <row r="79" spans="1:17" x14ac:dyDescent="0.3">
      <c r="A79" t="s">
        <v>52</v>
      </c>
      <c r="B79" s="2">
        <f>Calculations!$E138</f>
        <v>0</v>
      </c>
      <c r="C79" s="2">
        <f>Calculations!$E138</f>
        <v>0</v>
      </c>
      <c r="D79" s="2">
        <f>Calculations!$E138</f>
        <v>0</v>
      </c>
      <c r="E79" s="2">
        <f>Calculations!$E138</f>
        <v>0</v>
      </c>
      <c r="F79" s="2">
        <f>Calculations!$E138</f>
        <v>0</v>
      </c>
      <c r="G79" s="2">
        <f>Calculations!$E138</f>
        <v>0</v>
      </c>
      <c r="H79" s="2">
        <f>Calculations!$E138</f>
        <v>0</v>
      </c>
      <c r="I79" s="2">
        <f>Calculations!$E138</f>
        <v>0</v>
      </c>
      <c r="J79" s="2">
        <f>Calculations!$E138</f>
        <v>0</v>
      </c>
      <c r="K79" s="2">
        <f>Calculations!$E138</f>
        <v>0</v>
      </c>
      <c r="L79" s="2">
        <f>Calculations!$E138</f>
        <v>0</v>
      </c>
      <c r="M79" s="2">
        <f>Calculations!$E138</f>
        <v>0</v>
      </c>
      <c r="N79" s="2">
        <f>Calculations!$E138</f>
        <v>0</v>
      </c>
      <c r="O79" s="2">
        <f>Calculations!$E138</f>
        <v>0</v>
      </c>
    </row>
    <row r="80" spans="1:17" x14ac:dyDescent="0.3">
      <c r="A80" t="s">
        <v>53</v>
      </c>
      <c r="B80" s="2">
        <f>Calculations!$E139</f>
        <v>0</v>
      </c>
      <c r="C80" s="2">
        <f>Calculations!$E139</f>
        <v>0</v>
      </c>
      <c r="D80" s="2">
        <f>Calculations!$E139</f>
        <v>0</v>
      </c>
      <c r="E80" s="2">
        <f>Calculations!$E139</f>
        <v>0</v>
      </c>
      <c r="F80" s="2">
        <f>Calculations!$E139</f>
        <v>0</v>
      </c>
      <c r="G80" s="2">
        <f>Calculations!$E139</f>
        <v>0</v>
      </c>
      <c r="H80" s="2">
        <f>Calculations!$E139</f>
        <v>0</v>
      </c>
      <c r="I80" s="2">
        <f>Calculations!$E139</f>
        <v>0</v>
      </c>
      <c r="J80" s="2">
        <f>Calculations!$E139</f>
        <v>0</v>
      </c>
      <c r="K80" s="2">
        <f>Calculations!$E139</f>
        <v>0</v>
      </c>
      <c r="L80" s="2">
        <f>Calculations!$E139</f>
        <v>0</v>
      </c>
      <c r="M80" s="2">
        <f>Calculations!$E139</f>
        <v>0</v>
      </c>
      <c r="N80" s="2">
        <f>Calculations!$E139</f>
        <v>0</v>
      </c>
      <c r="O80" s="2">
        <f>Calculations!$E139</f>
        <v>0</v>
      </c>
    </row>
    <row r="81" spans="1:17" x14ac:dyDescent="0.3">
      <c r="B81" s="2"/>
      <c r="C81" s="2"/>
      <c r="D81" s="2"/>
      <c r="E81" s="2"/>
      <c r="F81" s="2"/>
      <c r="G81" s="2"/>
      <c r="H81" s="2"/>
      <c r="I81" s="2"/>
      <c r="J81" s="2"/>
      <c r="K81" s="2"/>
      <c r="L81" s="2"/>
      <c r="M81" s="2"/>
      <c r="N81" s="2"/>
      <c r="O81" s="2"/>
      <c r="Q81" s="7"/>
    </row>
    <row r="82" spans="1:17" x14ac:dyDescent="0.3">
      <c r="A82" s="1" t="s">
        <v>293</v>
      </c>
      <c r="B82" s="2">
        <f>SUM(B83:B84)</f>
        <v>31.543437500000003</v>
      </c>
      <c r="C82" s="2">
        <f t="shared" ref="C82:M82" si="1">SUM(C83:C84)</f>
        <v>31.543437500000003</v>
      </c>
      <c r="D82" s="2">
        <f t="shared" si="1"/>
        <v>31.543437500000003</v>
      </c>
      <c r="E82" s="2">
        <f t="shared" si="1"/>
        <v>31.543437500000003</v>
      </c>
      <c r="F82" s="2">
        <f t="shared" si="1"/>
        <v>31.543437500000003</v>
      </c>
      <c r="G82" s="2">
        <f t="shared" si="1"/>
        <v>31.543437500000003</v>
      </c>
      <c r="H82" s="2">
        <f t="shared" si="1"/>
        <v>31.543437500000003</v>
      </c>
      <c r="I82" s="2">
        <f t="shared" si="1"/>
        <v>31.543437500000003</v>
      </c>
      <c r="J82" s="2">
        <v>0</v>
      </c>
      <c r="K82" s="2">
        <v>0</v>
      </c>
      <c r="L82" s="2">
        <f t="shared" si="1"/>
        <v>31.543437500000003</v>
      </c>
      <c r="M82" s="2">
        <f t="shared" si="1"/>
        <v>31.543437500000003</v>
      </c>
      <c r="N82" s="2">
        <v>0</v>
      </c>
      <c r="O82" s="2">
        <v>0</v>
      </c>
      <c r="Q82" s="7"/>
    </row>
    <row r="83" spans="1:17" x14ac:dyDescent="0.3">
      <c r="A83" t="s">
        <v>449</v>
      </c>
      <c r="B83" s="2">
        <f>Calculations!$B157</f>
        <v>2.5934375000000003</v>
      </c>
      <c r="C83" s="2">
        <f>Calculations!$B157</f>
        <v>2.5934375000000003</v>
      </c>
      <c r="D83" s="2">
        <f>Calculations!$B157</f>
        <v>2.5934375000000003</v>
      </c>
      <c r="E83" s="2">
        <f>Calculations!$B157</f>
        <v>2.5934375000000003</v>
      </c>
      <c r="F83" s="2">
        <f>Calculations!$B157</f>
        <v>2.5934375000000003</v>
      </c>
      <c r="G83" s="2">
        <f>Calculations!$B157</f>
        <v>2.5934375000000003</v>
      </c>
      <c r="H83" s="2">
        <f>Calculations!$B157</f>
        <v>2.5934375000000003</v>
      </c>
      <c r="I83" s="2">
        <f>Calculations!$B157</f>
        <v>2.5934375000000003</v>
      </c>
      <c r="J83" s="2">
        <v>0</v>
      </c>
      <c r="K83" s="2">
        <v>0</v>
      </c>
      <c r="L83" s="2">
        <f>Calculations!$B157</f>
        <v>2.5934375000000003</v>
      </c>
      <c r="M83" s="2">
        <f>Calculations!$B157</f>
        <v>2.5934375000000003</v>
      </c>
      <c r="N83" s="2">
        <v>0</v>
      </c>
      <c r="O83" s="2">
        <v>0</v>
      </c>
      <c r="Q83" s="7"/>
    </row>
    <row r="84" spans="1:17" x14ac:dyDescent="0.3">
      <c r="A84" t="s">
        <v>450</v>
      </c>
      <c r="B84" s="2">
        <f>Calculations!$C157</f>
        <v>28.950000000000003</v>
      </c>
      <c r="C84" s="2">
        <f>Calculations!$C157</f>
        <v>28.950000000000003</v>
      </c>
      <c r="D84" s="2">
        <f>Calculations!$C157</f>
        <v>28.950000000000003</v>
      </c>
      <c r="E84" s="2">
        <f>Calculations!$C157</f>
        <v>28.950000000000003</v>
      </c>
      <c r="F84" s="2">
        <f>Calculations!$C157</f>
        <v>28.950000000000003</v>
      </c>
      <c r="G84" s="2">
        <f>Calculations!$C157</f>
        <v>28.950000000000003</v>
      </c>
      <c r="H84" s="2">
        <f>Calculations!$C157</f>
        <v>28.950000000000003</v>
      </c>
      <c r="I84" s="2">
        <f>Calculations!$C157</f>
        <v>28.950000000000003</v>
      </c>
      <c r="J84" s="2">
        <v>0</v>
      </c>
      <c r="K84" s="2">
        <v>0</v>
      </c>
      <c r="L84" s="2">
        <f>Calculations!$C157</f>
        <v>28.950000000000003</v>
      </c>
      <c r="M84" s="2">
        <f>Calculations!$C157</f>
        <v>28.950000000000003</v>
      </c>
      <c r="N84" s="2">
        <v>0</v>
      </c>
      <c r="O84" s="2">
        <v>0</v>
      </c>
      <c r="Q84" s="7"/>
    </row>
    <row r="85" spans="1:17" x14ac:dyDescent="0.3">
      <c r="B85" s="2"/>
      <c r="C85" s="2"/>
      <c r="D85" s="2"/>
      <c r="E85" s="2"/>
      <c r="F85" s="2"/>
      <c r="G85" s="2"/>
      <c r="H85" s="2"/>
      <c r="I85" s="2"/>
      <c r="J85" s="2"/>
      <c r="K85" s="2"/>
      <c r="L85" s="2"/>
      <c r="M85" s="2"/>
      <c r="N85" s="2"/>
      <c r="O85" s="2"/>
      <c r="Q85" s="7"/>
    </row>
    <row r="86" spans="1:17" x14ac:dyDescent="0.3">
      <c r="A86" s="1" t="s">
        <v>308</v>
      </c>
      <c r="B86" s="2">
        <f>B6+B13+B21+B26+B55+B61+B82</f>
        <v>1306.4905482994516</v>
      </c>
      <c r="C86" s="2">
        <f t="shared" ref="C86:I86" si="2">C6+C13+C21+C26+C55+C61+C82</f>
        <v>1175.7822463102</v>
      </c>
      <c r="D86" s="2">
        <f t="shared" si="2"/>
        <v>509.41497609449186</v>
      </c>
      <c r="E86" s="2">
        <f t="shared" si="2"/>
        <v>487.73019065639829</v>
      </c>
      <c r="F86" s="2">
        <f t="shared" si="2"/>
        <v>640.50084417383584</v>
      </c>
      <c r="G86" s="2">
        <f t="shared" si="2"/>
        <v>594.42866108654584</v>
      </c>
      <c r="H86" s="2">
        <f t="shared" si="2"/>
        <v>602.94163442401532</v>
      </c>
      <c r="I86" s="2">
        <f t="shared" si="2"/>
        <v>568.70486896066905</v>
      </c>
      <c r="J86" s="2">
        <f>J6+J13+J21+J26+J55+J61</f>
        <v>352.09022935998473</v>
      </c>
      <c r="K86" s="2">
        <f>K6+K13+K21+K26+K55+K61</f>
        <v>353.40692884821993</v>
      </c>
      <c r="L86" s="2">
        <f>L6+L13+L21+L26+L55+L61+L82</f>
        <v>797.64862723669125</v>
      </c>
      <c r="M86" s="2">
        <f>M6+M13+M21+M26+M55+M61+M82</f>
        <v>865.28179888271177</v>
      </c>
      <c r="N86" s="2">
        <f>N6+N13+N21+N26+N55+N61</f>
        <v>541.00760970704357</v>
      </c>
      <c r="O86" s="2">
        <f>O6+O13+O21+O26+O55+O61</f>
        <v>544.40818304037691</v>
      </c>
      <c r="Q86" s="7"/>
    </row>
  </sheetData>
  <mergeCells count="8">
    <mergeCell ref="B1:O1"/>
    <mergeCell ref="N2:O2"/>
    <mergeCell ref="B2:C2"/>
    <mergeCell ref="D2:E2"/>
    <mergeCell ref="F2:G2"/>
    <mergeCell ref="H2:I2"/>
    <mergeCell ref="J2:K2"/>
    <mergeCell ref="L2:M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
  <sheetViews>
    <sheetView workbookViewId="0"/>
  </sheetViews>
  <sheetFormatPr defaultColWidth="0" defaultRowHeight="14.4" zeroHeight="1" x14ac:dyDescent="0.3"/>
  <cols>
    <col min="1" max="1" width="24" bestFit="1" customWidth="1"/>
    <col min="2" max="2" width="29.5546875" customWidth="1"/>
    <col min="3" max="3" width="2.33203125" customWidth="1"/>
    <col min="4" max="4" width="22.33203125" bestFit="1" customWidth="1"/>
    <col min="5" max="5" width="4.33203125" customWidth="1"/>
    <col min="6" max="6" width="10.109375" bestFit="1" customWidth="1"/>
    <col min="7" max="16" width="8.88671875" customWidth="1"/>
    <col min="17" max="16384" width="8.88671875" hidden="1"/>
  </cols>
  <sheetData>
    <row r="1" spans="1:11" ht="18" x14ac:dyDescent="0.35">
      <c r="A1" s="31" t="s">
        <v>451</v>
      </c>
      <c r="H1" s="33"/>
      <c r="I1" s="33"/>
      <c r="J1" s="33"/>
      <c r="K1" s="33"/>
    </row>
    <row r="2" spans="1:11" ht="12" customHeight="1" x14ac:dyDescent="0.3">
      <c r="A2" s="1" t="s">
        <v>452</v>
      </c>
      <c r="B2" t="s">
        <v>426</v>
      </c>
      <c r="C2" s="18" t="s">
        <v>24</v>
      </c>
      <c r="D2" s="32"/>
      <c r="E2" s="32"/>
      <c r="F2" s="1" t="s">
        <v>453</v>
      </c>
    </row>
    <row r="3" spans="1:11" ht="15.6" x14ac:dyDescent="0.35">
      <c r="A3" s="13" t="s">
        <v>454</v>
      </c>
      <c r="B3" s="60" t="s">
        <v>455</v>
      </c>
      <c r="C3" s="61"/>
      <c r="D3" s="13" t="s">
        <v>456</v>
      </c>
      <c r="E3" s="20"/>
    </row>
    <row r="4" spans="1:11" x14ac:dyDescent="0.3">
      <c r="A4" s="14" t="str">
        <f>'Results breakdown'!A6</f>
        <v>Barley cultivation</v>
      </c>
      <c r="B4" s="56">
        <f>HLOOKUP(B2,'Results breakdown'!B4:O86,3,FALSE)</f>
        <v>58.683119999999995</v>
      </c>
      <c r="C4" s="57"/>
      <c r="D4" s="16">
        <f>B4/$B$11</f>
        <v>4.4916605080980387E-2</v>
      </c>
      <c r="E4" s="19"/>
    </row>
    <row r="5" spans="1:11" x14ac:dyDescent="0.3">
      <c r="A5" s="14" t="str">
        <f>'Results breakdown'!A13</f>
        <v>Hop cultivation</v>
      </c>
      <c r="B5" s="56">
        <f>HLOOKUP(B2,'Results breakdown'!B4:O86,10,FALSE)</f>
        <v>4.2788887870435328</v>
      </c>
      <c r="C5" s="57"/>
      <c r="D5" s="16">
        <f t="shared" ref="D5:D11" si="0">B5/$B$11</f>
        <v>3.2751012187673314E-3</v>
      </c>
      <c r="E5" s="19"/>
    </row>
    <row r="6" spans="1:11" x14ac:dyDescent="0.3">
      <c r="A6" s="14" t="str">
        <f>'Results breakdown'!A21</f>
        <v>Malting process</v>
      </c>
      <c r="B6" s="56">
        <f>HLOOKUP(B2,'Results breakdown'!B4:O86,18,FALSE)</f>
        <v>36.45809672</v>
      </c>
      <c r="C6" s="57"/>
      <c r="D6" s="16">
        <f t="shared" si="0"/>
        <v>2.7905365842450545E-2</v>
      </c>
      <c r="E6" s="19"/>
    </row>
    <row r="7" spans="1:11" x14ac:dyDescent="0.3">
      <c r="A7" s="14" t="str">
        <f>'Results breakdown'!A26</f>
        <v xml:space="preserve">Brewing process </v>
      </c>
      <c r="B7" s="56">
        <f>HLOOKUP(B2,'Results breakdown'!B4:O86,23,FALSE)</f>
        <v>165.63597999999999</v>
      </c>
      <c r="C7" s="57"/>
      <c r="D7" s="16">
        <f t="shared" si="0"/>
        <v>0.12677931747427823</v>
      </c>
      <c r="E7" s="19"/>
    </row>
    <row r="8" spans="1:11" x14ac:dyDescent="0.3">
      <c r="A8" s="14" t="str">
        <f>'Results breakdown'!A55</f>
        <v>Packaging and waste</v>
      </c>
      <c r="B8" s="56">
        <f>HLOOKUP(B2,'Results breakdown'!B4:O86,52,FALSE)</f>
        <v>898.63882247422634</v>
      </c>
      <c r="C8" s="57"/>
      <c r="D8" s="16">
        <f t="shared" si="0"/>
        <v>0.68782650103661958</v>
      </c>
      <c r="E8" s="19"/>
    </row>
    <row r="9" spans="1:11" x14ac:dyDescent="0.3">
      <c r="A9" s="14" t="str">
        <f>'Results breakdown'!A61</f>
        <v>Transport</v>
      </c>
      <c r="B9" s="56">
        <f>HLOOKUP(B2,'Results breakdown'!B4:O86,58,FALSE)</f>
        <v>111.25220281818183</v>
      </c>
      <c r="C9" s="57"/>
      <c r="D9" s="16">
        <f t="shared" si="0"/>
        <v>8.5153469317469935E-2</v>
      </c>
      <c r="E9" s="19"/>
    </row>
    <row r="10" spans="1:11" x14ac:dyDescent="0.3">
      <c r="A10" s="14" t="str">
        <f>'Results breakdown'!A82</f>
        <v>Refrigeration</v>
      </c>
      <c r="B10" s="56">
        <f>HLOOKUP(B2,'Results breakdown'!B4:O86,79,FALSE)</f>
        <v>31.543437500000003</v>
      </c>
      <c r="C10" s="57"/>
      <c r="D10" s="16">
        <f t="shared" si="0"/>
        <v>2.4143640029434144E-2</v>
      </c>
      <c r="E10" s="19"/>
    </row>
    <row r="11" spans="1:11" x14ac:dyDescent="0.3">
      <c r="A11" s="15" t="str">
        <f>'Results breakdown'!A86</f>
        <v>Total</v>
      </c>
      <c r="B11" s="58">
        <f>SUM(B4:C10)</f>
        <v>1306.4905482994516</v>
      </c>
      <c r="C11" s="59"/>
      <c r="D11" s="17">
        <f t="shared" si="0"/>
        <v>1</v>
      </c>
      <c r="E11" s="20"/>
    </row>
    <row r="12" spans="1:11" x14ac:dyDescent="0.3"/>
    <row r="13" spans="1:11" x14ac:dyDescent="0.3"/>
    <row r="14" spans="1:11" x14ac:dyDescent="0.3"/>
    <row r="15" spans="1:11" x14ac:dyDescent="0.3"/>
    <row r="16" spans="1:11"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sheetData>
  <mergeCells count="9">
    <mergeCell ref="B9:C9"/>
    <mergeCell ref="B10:C10"/>
    <mergeCell ref="B11:C11"/>
    <mergeCell ref="B3:C3"/>
    <mergeCell ref="B4:C4"/>
    <mergeCell ref="B5:C5"/>
    <mergeCell ref="B6:C6"/>
    <mergeCell ref="B7:C7"/>
    <mergeCell ref="B8:C8"/>
  </mergeCells>
  <dataValidations count="1">
    <dataValidation allowBlank="1" showErrorMessage="1" prompt="_x000a_" sqref="C2" xr:uid="{00000000-0002-0000-0600-000000000000}"/>
  </dataValidations>
  <hyperlinks>
    <hyperlink ref="C2" location="'Results summary'!B2" display="" xr:uid="{00000000-0004-0000-06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xr:uid="{00000000-0002-0000-0600-000001000000}">
          <x14:formula1>
            <xm:f>'Results breakdown'!$B$4:$O$4</xm:f>
          </x14:formula1>
          <xm:sqref>B2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workbookViewId="0">
      <selection activeCell="E14" sqref="E14"/>
    </sheetView>
  </sheetViews>
  <sheetFormatPr defaultRowHeight="14.4" x14ac:dyDescent="0.3"/>
  <cols>
    <col min="1" max="1" width="11.88671875" bestFit="1" customWidth="1"/>
    <col min="3" max="3" width="12.6640625" customWidth="1"/>
    <col min="5" max="5" width="27" customWidth="1"/>
  </cols>
  <sheetData>
    <row r="1" spans="1:5" x14ac:dyDescent="0.3">
      <c r="A1" t="s">
        <v>457</v>
      </c>
      <c r="C1" t="s">
        <v>458</v>
      </c>
      <c r="E1" t="s">
        <v>459</v>
      </c>
    </row>
    <row r="2" spans="1:5" x14ac:dyDescent="0.3">
      <c r="A2" t="s">
        <v>31</v>
      </c>
      <c r="C2" t="s">
        <v>460</v>
      </c>
      <c r="E2" t="s">
        <v>461</v>
      </c>
    </row>
    <row r="3" spans="1:5" x14ac:dyDescent="0.3">
      <c r="A3" t="s">
        <v>462</v>
      </c>
      <c r="C3" t="s">
        <v>463</v>
      </c>
      <c r="E3" t="s">
        <v>464</v>
      </c>
    </row>
    <row r="4" spans="1:5" x14ac:dyDescent="0.3">
      <c r="A4" t="s">
        <v>285</v>
      </c>
      <c r="C4" t="s">
        <v>23</v>
      </c>
      <c r="E4" t="s">
        <v>76</v>
      </c>
    </row>
    <row r="5" spans="1:5" x14ac:dyDescent="0.3">
      <c r="A5" t="s">
        <v>462</v>
      </c>
    </row>
    <row r="6" spans="1:5" x14ac:dyDescent="0.3">
      <c r="A6" t="s">
        <v>287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Instructions</vt:lpstr>
      <vt:lpstr>User inputs</vt:lpstr>
      <vt:lpstr>Data and assumptions</vt:lpstr>
      <vt:lpstr>Calculations</vt:lpstr>
      <vt:lpstr>Results breakdown</vt:lpstr>
      <vt:lpstr>Results summary</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bowler</dc:creator>
  <cp:keywords/>
  <dc:description/>
  <cp:lastModifiedBy>alex bowler</cp:lastModifiedBy>
  <cp:revision/>
  <dcterms:created xsi:type="dcterms:W3CDTF">2022-09-30T19:18:43Z</dcterms:created>
  <dcterms:modified xsi:type="dcterms:W3CDTF">2024-01-02T10:25:14Z</dcterms:modified>
  <cp:category/>
  <cp:contentStatus/>
</cp:coreProperties>
</file>