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nvanveldhuize\surfdrive\0. PHD (surfdrive)\06 Nautilus project\WP7 Technology analysis\T7.1 Future fuels\2 Fuel analysis\0 Thermodynamic analysis\5 Hydrogen model\Results\"/>
    </mc:Choice>
  </mc:AlternateContent>
  <bookViews>
    <workbookView xWindow="-28920" yWindow="-120" windowWidth="29040" windowHeight="15840" tabRatio="837"/>
  </bookViews>
  <sheets>
    <sheet name="Gross_elec_eff" sheetId="19" r:id="rId1"/>
    <sheet name="Net_elec_eff" sheetId="18" r:id="rId2"/>
    <sheet name="Heat_eff" sheetId="20" r:id="rId3"/>
    <sheet name="Tot_eff" sheetId="1" r:id="rId4"/>
    <sheet name="P_i" sheetId="21" r:id="rId5"/>
    <sheet name="FU 0.7" sheetId="2" r:id="rId6"/>
    <sheet name="FU 0.71" sheetId="3" r:id="rId7"/>
    <sheet name="FU 0.72" sheetId="4" r:id="rId8"/>
    <sheet name="FU 0.73" sheetId="5" r:id="rId9"/>
    <sheet name="FU 0.74" sheetId="6" r:id="rId10"/>
    <sheet name="FU 0.75" sheetId="7" r:id="rId11"/>
    <sheet name="FU 0.76" sheetId="8" r:id="rId12"/>
    <sheet name="FU 0.77" sheetId="9" r:id="rId13"/>
    <sheet name="FU 0.78" sheetId="10" r:id="rId14"/>
    <sheet name="FU 0.79" sheetId="11" r:id="rId15"/>
    <sheet name="FU 0.8" sheetId="12" r:id="rId16"/>
    <sheet name="FU 0.81" sheetId="13" r:id="rId17"/>
    <sheet name="FU 0.82" sheetId="14" r:id="rId18"/>
    <sheet name="FU 0.83" sheetId="15" r:id="rId19"/>
    <sheet name="FU 0.84" sheetId="16" r:id="rId20"/>
    <sheet name="FU 0.85" sheetId="17" r:id="rId21"/>
  </sheets>
  <calcPr calcId="162913"/>
</workbook>
</file>

<file path=xl/calcChain.xml><?xml version="1.0" encoding="utf-8"?>
<calcChain xmlns="http://schemas.openxmlformats.org/spreadsheetml/2006/main">
  <c r="Q3" i="19" l="1"/>
  <c r="Q4" i="19"/>
  <c r="Q5" i="19"/>
  <c r="Q6" i="19"/>
  <c r="Q7" i="19"/>
  <c r="Q8" i="19"/>
  <c r="Q9" i="19"/>
  <c r="Q10" i="19"/>
  <c r="Q11" i="19"/>
  <c r="Q12" i="19"/>
  <c r="Q13" i="19"/>
  <c r="Q14" i="19"/>
  <c r="Q15" i="19"/>
  <c r="Q16" i="19"/>
  <c r="Q17" i="19"/>
  <c r="Q18" i="19"/>
  <c r="Q19" i="19"/>
  <c r="Q20" i="19"/>
  <c r="Q21" i="19"/>
  <c r="Q22" i="19"/>
  <c r="Q23" i="19"/>
  <c r="Q24" i="19"/>
  <c r="Q25" i="19"/>
  <c r="Q26" i="19"/>
  <c r="Q27" i="19"/>
  <c r="Q2" i="19"/>
  <c r="Q3" i="18"/>
  <c r="Q4" i="18"/>
  <c r="Q5" i="18"/>
  <c r="Q6" i="18"/>
  <c r="Q7" i="18"/>
  <c r="Q8" i="18"/>
  <c r="Q9" i="18"/>
  <c r="Q10" i="18"/>
  <c r="Q11" i="18"/>
  <c r="Q12" i="18"/>
  <c r="Q13" i="18"/>
  <c r="Q14" i="18"/>
  <c r="Q15" i="18"/>
  <c r="Q16" i="18"/>
  <c r="Q17" i="18"/>
  <c r="Q18" i="18"/>
  <c r="Q19" i="18"/>
  <c r="Q20" i="18"/>
  <c r="Q21" i="18"/>
  <c r="Q22" i="18"/>
  <c r="Q23" i="18"/>
  <c r="Q24" i="18"/>
  <c r="Q25" i="18"/>
  <c r="Q26" i="18"/>
  <c r="Q27" i="18"/>
  <c r="Q2" i="18"/>
  <c r="Q3" i="20"/>
  <c r="Q4" i="20"/>
  <c r="Q5" i="20"/>
  <c r="Q6" i="20"/>
  <c r="Q7" i="20"/>
  <c r="Q8" i="20"/>
  <c r="Q9" i="20"/>
  <c r="Q10" i="20"/>
  <c r="Q11" i="20"/>
  <c r="Q12" i="20"/>
  <c r="Q13" i="20"/>
  <c r="Q14" i="20"/>
  <c r="Q15" i="20"/>
  <c r="Q16" i="20"/>
  <c r="Q17" i="20"/>
  <c r="Q18" i="20"/>
  <c r="Q19" i="20"/>
  <c r="Q20" i="20"/>
  <c r="Q21" i="20"/>
  <c r="Q22" i="20"/>
  <c r="Q23" i="20"/>
  <c r="Q24" i="20"/>
  <c r="Q25" i="20"/>
  <c r="Q26" i="20"/>
  <c r="Q27" i="20"/>
  <c r="Q2" i="20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" i="1"/>
  <c r="Q27" i="21"/>
  <c r="Q26" i="21"/>
  <c r="Q25" i="21"/>
  <c r="Q24" i="21"/>
  <c r="Q23" i="21"/>
  <c r="Q22" i="21"/>
  <c r="Q21" i="21"/>
  <c r="Q20" i="21"/>
  <c r="Q19" i="21"/>
  <c r="Q18" i="21"/>
  <c r="Q17" i="21"/>
  <c r="Q16" i="21"/>
  <c r="Q15" i="21"/>
  <c r="Q14" i="21"/>
  <c r="Q13" i="21"/>
  <c r="Q12" i="21"/>
  <c r="Q11" i="21"/>
  <c r="Q10" i="21"/>
  <c r="Q9" i="21"/>
  <c r="Q8" i="21"/>
  <c r="Q7" i="21"/>
  <c r="Q6" i="21"/>
  <c r="Q5" i="21"/>
  <c r="Q4" i="21"/>
  <c r="Q3" i="21"/>
  <c r="Q2" i="21"/>
  <c r="L27" i="16"/>
  <c r="K27" i="16"/>
  <c r="J27" i="16"/>
  <c r="I27" i="16"/>
  <c r="H27" i="16"/>
  <c r="G27" i="16"/>
  <c r="F27" i="16"/>
  <c r="E27" i="16"/>
  <c r="D27" i="16"/>
  <c r="C27" i="16"/>
  <c r="B27" i="16"/>
  <c r="A27" i="16"/>
  <c r="L26" i="16"/>
  <c r="K26" i="16"/>
  <c r="J26" i="16"/>
  <c r="I26" i="16"/>
  <c r="H26" i="16"/>
  <c r="G26" i="16"/>
  <c r="F26" i="16"/>
  <c r="E26" i="16"/>
  <c r="D26" i="16"/>
  <c r="C26" i="16"/>
  <c r="B26" i="16"/>
  <c r="A26" i="16"/>
  <c r="L25" i="16"/>
  <c r="K25" i="16"/>
  <c r="J25" i="16"/>
  <c r="I25" i="16"/>
  <c r="H25" i="16"/>
  <c r="G25" i="16"/>
  <c r="F25" i="16"/>
  <c r="E25" i="16"/>
  <c r="D25" i="16"/>
  <c r="C25" i="16"/>
  <c r="B25" i="16"/>
  <c r="A25" i="16"/>
  <c r="L24" i="16"/>
  <c r="K24" i="16"/>
  <c r="J24" i="16"/>
  <c r="I24" i="16"/>
  <c r="H24" i="16"/>
  <c r="G24" i="16"/>
  <c r="F24" i="16"/>
  <c r="E24" i="16"/>
  <c r="D24" i="16"/>
  <c r="C24" i="16"/>
  <c r="B24" i="16"/>
  <c r="A24" i="16"/>
  <c r="L23" i="16"/>
  <c r="K23" i="16"/>
  <c r="J23" i="16"/>
  <c r="I23" i="16"/>
  <c r="H23" i="16"/>
  <c r="G23" i="16"/>
  <c r="F23" i="16"/>
  <c r="E23" i="16"/>
  <c r="D23" i="16"/>
  <c r="C23" i="16"/>
  <c r="B23" i="16"/>
  <c r="A23" i="16"/>
  <c r="L22" i="16"/>
  <c r="K22" i="16"/>
  <c r="J22" i="16"/>
  <c r="I22" i="16"/>
  <c r="H22" i="16"/>
  <c r="G22" i="16"/>
  <c r="F22" i="16"/>
  <c r="E22" i="16"/>
  <c r="D22" i="16"/>
  <c r="C22" i="16"/>
  <c r="B22" i="16"/>
  <c r="A22" i="16"/>
  <c r="L21" i="16"/>
  <c r="K21" i="16"/>
  <c r="J21" i="16"/>
  <c r="I21" i="16"/>
  <c r="H21" i="16"/>
  <c r="G21" i="16"/>
  <c r="F21" i="16"/>
  <c r="E21" i="16"/>
  <c r="D21" i="16"/>
  <c r="C21" i="16"/>
  <c r="B21" i="16"/>
  <c r="A21" i="16"/>
  <c r="L20" i="16"/>
  <c r="K20" i="16"/>
  <c r="J20" i="16"/>
  <c r="I20" i="16"/>
  <c r="H20" i="16"/>
  <c r="G20" i="16"/>
  <c r="F20" i="16"/>
  <c r="E20" i="16"/>
  <c r="D20" i="16"/>
  <c r="C20" i="16"/>
  <c r="B20" i="16"/>
  <c r="A20" i="16"/>
  <c r="L19" i="16"/>
  <c r="K19" i="16"/>
  <c r="J19" i="16"/>
  <c r="I19" i="16"/>
  <c r="H19" i="16"/>
  <c r="G19" i="16"/>
  <c r="F19" i="16"/>
  <c r="E19" i="16"/>
  <c r="D19" i="16"/>
  <c r="C19" i="16"/>
  <c r="B19" i="16"/>
  <c r="A19" i="16"/>
  <c r="L18" i="16"/>
  <c r="K18" i="16"/>
  <c r="J18" i="16"/>
  <c r="I18" i="16"/>
  <c r="H18" i="16"/>
  <c r="G18" i="16"/>
  <c r="F18" i="16"/>
  <c r="E18" i="16"/>
  <c r="D18" i="16"/>
  <c r="C18" i="16"/>
  <c r="B18" i="16"/>
  <c r="A18" i="16"/>
  <c r="L17" i="16"/>
  <c r="K17" i="16"/>
  <c r="J17" i="16"/>
  <c r="I17" i="16"/>
  <c r="H17" i="16"/>
  <c r="G17" i="16"/>
  <c r="F17" i="16"/>
  <c r="E17" i="16"/>
  <c r="D17" i="16"/>
  <c r="C17" i="16"/>
  <c r="B17" i="16"/>
  <c r="A17" i="16"/>
  <c r="L16" i="16"/>
  <c r="K16" i="16"/>
  <c r="J16" i="16"/>
  <c r="I16" i="16"/>
  <c r="H16" i="16"/>
  <c r="G16" i="16"/>
  <c r="F16" i="16"/>
  <c r="E16" i="16"/>
  <c r="D16" i="16"/>
  <c r="C16" i="16"/>
  <c r="B16" i="16"/>
  <c r="A16" i="16"/>
  <c r="L15" i="16"/>
  <c r="K15" i="16"/>
  <c r="J15" i="16"/>
  <c r="I15" i="16"/>
  <c r="H15" i="16"/>
  <c r="G15" i="16"/>
  <c r="F15" i="16"/>
  <c r="E15" i="16"/>
  <c r="D15" i="16"/>
  <c r="C15" i="16"/>
  <c r="B15" i="16"/>
  <c r="A15" i="16"/>
  <c r="L14" i="16"/>
  <c r="K14" i="16"/>
  <c r="J14" i="16"/>
  <c r="I14" i="16"/>
  <c r="H14" i="16"/>
  <c r="G14" i="16"/>
  <c r="F14" i="16"/>
  <c r="E14" i="16"/>
  <c r="D14" i="16"/>
  <c r="C14" i="16"/>
  <c r="B14" i="16"/>
  <c r="A14" i="16"/>
  <c r="L13" i="16"/>
  <c r="K13" i="16"/>
  <c r="J13" i="16"/>
  <c r="I13" i="16"/>
  <c r="H13" i="16"/>
  <c r="G13" i="16"/>
  <c r="F13" i="16"/>
  <c r="E13" i="16"/>
  <c r="D13" i="16"/>
  <c r="C13" i="16"/>
  <c r="B13" i="16"/>
  <c r="A13" i="16"/>
  <c r="L12" i="16"/>
  <c r="K12" i="16"/>
  <c r="J12" i="16"/>
  <c r="I12" i="16"/>
  <c r="H12" i="16"/>
  <c r="G12" i="16"/>
  <c r="F12" i="16"/>
  <c r="E12" i="16"/>
  <c r="D12" i="16"/>
  <c r="C12" i="16"/>
  <c r="B12" i="16"/>
  <c r="A12" i="16"/>
  <c r="L11" i="16"/>
  <c r="K11" i="16"/>
  <c r="J11" i="16"/>
  <c r="I11" i="16"/>
  <c r="H11" i="16"/>
  <c r="G11" i="16"/>
  <c r="F11" i="16"/>
  <c r="E11" i="16"/>
  <c r="D11" i="16"/>
  <c r="C11" i="16"/>
  <c r="B11" i="16"/>
  <c r="A11" i="16"/>
  <c r="L10" i="16"/>
  <c r="K10" i="16"/>
  <c r="J10" i="16"/>
  <c r="I10" i="16"/>
  <c r="H10" i="16"/>
  <c r="G10" i="16"/>
  <c r="F10" i="16"/>
  <c r="E10" i="16"/>
  <c r="D10" i="16"/>
  <c r="C10" i="16"/>
  <c r="B10" i="16"/>
  <c r="A10" i="16"/>
  <c r="L9" i="16"/>
  <c r="K9" i="16"/>
  <c r="J9" i="16"/>
  <c r="I9" i="16"/>
  <c r="H9" i="16"/>
  <c r="G9" i="16"/>
  <c r="F9" i="16"/>
  <c r="E9" i="16"/>
  <c r="D9" i="16"/>
  <c r="C9" i="16"/>
  <c r="B9" i="16"/>
  <c r="A9" i="16"/>
  <c r="L8" i="16"/>
  <c r="K8" i="16"/>
  <c r="J8" i="16"/>
  <c r="I8" i="16"/>
  <c r="H8" i="16"/>
  <c r="G8" i="16"/>
  <c r="F8" i="16"/>
  <c r="E8" i="16"/>
  <c r="D8" i="16"/>
  <c r="C8" i="16"/>
  <c r="B8" i="16"/>
  <c r="A8" i="16"/>
  <c r="L7" i="16"/>
  <c r="K7" i="16"/>
  <c r="J7" i="16"/>
  <c r="I7" i="16"/>
  <c r="H7" i="16"/>
  <c r="G7" i="16"/>
  <c r="F7" i="16"/>
  <c r="E7" i="16"/>
  <c r="D7" i="16"/>
  <c r="C7" i="16"/>
  <c r="B7" i="16"/>
  <c r="A7" i="16"/>
  <c r="L6" i="16"/>
  <c r="K6" i="16"/>
  <c r="J6" i="16"/>
  <c r="I6" i="16"/>
  <c r="H6" i="16"/>
  <c r="G6" i="16"/>
  <c r="F6" i="16"/>
  <c r="E6" i="16"/>
  <c r="D6" i="16"/>
  <c r="C6" i="16"/>
  <c r="B6" i="16"/>
  <c r="A6" i="16"/>
  <c r="L5" i="16"/>
  <c r="K5" i="16"/>
  <c r="J5" i="16"/>
  <c r="I5" i="16"/>
  <c r="H5" i="16"/>
  <c r="G5" i="16"/>
  <c r="F5" i="16"/>
  <c r="E5" i="16"/>
  <c r="D5" i="16"/>
  <c r="C5" i="16"/>
  <c r="B5" i="16"/>
  <c r="A5" i="16"/>
  <c r="L4" i="16"/>
  <c r="K4" i="16"/>
  <c r="J4" i="16"/>
  <c r="I4" i="16"/>
  <c r="H4" i="16"/>
  <c r="G4" i="16"/>
  <c r="F4" i="16"/>
  <c r="E4" i="16"/>
  <c r="D4" i="16"/>
  <c r="C4" i="16"/>
  <c r="B4" i="16"/>
  <c r="A4" i="16"/>
  <c r="L3" i="16"/>
  <c r="K3" i="16"/>
  <c r="J3" i="16"/>
  <c r="I3" i="16"/>
  <c r="H3" i="16"/>
  <c r="G3" i="16"/>
  <c r="F3" i="16"/>
  <c r="E3" i="16"/>
  <c r="D3" i="16"/>
  <c r="C3" i="16"/>
  <c r="B3" i="16"/>
  <c r="A3" i="16"/>
  <c r="L2" i="16"/>
  <c r="K2" i="16"/>
  <c r="J2" i="16"/>
  <c r="I2" i="16"/>
  <c r="H2" i="16"/>
  <c r="G2" i="16"/>
  <c r="F2" i="16"/>
  <c r="E2" i="16"/>
  <c r="D2" i="16"/>
  <c r="C2" i="16"/>
  <c r="B2" i="16"/>
  <c r="A2" i="16"/>
  <c r="L27" i="15" l="1"/>
  <c r="K27" i="15"/>
  <c r="J27" i="15"/>
  <c r="I27" i="15"/>
  <c r="H27" i="15"/>
  <c r="G27" i="15"/>
  <c r="F27" i="15"/>
  <c r="E27" i="15"/>
  <c r="D27" i="15"/>
  <c r="C27" i="15"/>
  <c r="B27" i="15"/>
  <c r="A27" i="15"/>
  <c r="L26" i="15"/>
  <c r="K26" i="15"/>
  <c r="J26" i="15"/>
  <c r="I26" i="15"/>
  <c r="H26" i="15"/>
  <c r="G26" i="15"/>
  <c r="F26" i="15"/>
  <c r="E26" i="15"/>
  <c r="D26" i="15"/>
  <c r="C26" i="15"/>
  <c r="B26" i="15"/>
  <c r="A26" i="15"/>
  <c r="L25" i="15"/>
  <c r="K25" i="15"/>
  <c r="J25" i="15"/>
  <c r="I25" i="15"/>
  <c r="H25" i="15"/>
  <c r="G25" i="15"/>
  <c r="F25" i="15"/>
  <c r="E25" i="15"/>
  <c r="D25" i="15"/>
  <c r="C25" i="15"/>
  <c r="B25" i="15"/>
  <c r="A25" i="15"/>
  <c r="L24" i="15"/>
  <c r="K24" i="15"/>
  <c r="J24" i="15"/>
  <c r="I24" i="15"/>
  <c r="H24" i="15"/>
  <c r="G24" i="15"/>
  <c r="F24" i="15"/>
  <c r="E24" i="15"/>
  <c r="D24" i="15"/>
  <c r="C24" i="15"/>
  <c r="B24" i="15"/>
  <c r="A24" i="15"/>
  <c r="L23" i="15"/>
  <c r="K23" i="15"/>
  <c r="J23" i="15"/>
  <c r="I23" i="15"/>
  <c r="H23" i="15"/>
  <c r="G23" i="15"/>
  <c r="F23" i="15"/>
  <c r="E23" i="15"/>
  <c r="D23" i="15"/>
  <c r="C23" i="15"/>
  <c r="B23" i="15"/>
  <c r="A23" i="15"/>
  <c r="L22" i="15"/>
  <c r="K22" i="15"/>
  <c r="J22" i="15"/>
  <c r="I22" i="15"/>
  <c r="H22" i="15"/>
  <c r="G22" i="15"/>
  <c r="F22" i="15"/>
  <c r="E22" i="15"/>
  <c r="D22" i="15"/>
  <c r="C22" i="15"/>
  <c r="B22" i="15"/>
  <c r="A22" i="15"/>
  <c r="L21" i="15"/>
  <c r="K21" i="15"/>
  <c r="J21" i="15"/>
  <c r="I21" i="15"/>
  <c r="H21" i="15"/>
  <c r="G21" i="15"/>
  <c r="F21" i="15"/>
  <c r="E21" i="15"/>
  <c r="D21" i="15"/>
  <c r="C21" i="15"/>
  <c r="B21" i="15"/>
  <c r="A21" i="15"/>
  <c r="L20" i="15"/>
  <c r="K20" i="15"/>
  <c r="J20" i="15"/>
  <c r="I20" i="15"/>
  <c r="H20" i="15"/>
  <c r="G20" i="15"/>
  <c r="F20" i="15"/>
  <c r="E20" i="15"/>
  <c r="D20" i="15"/>
  <c r="C20" i="15"/>
  <c r="B20" i="15"/>
  <c r="A20" i="15"/>
  <c r="L19" i="15"/>
  <c r="K19" i="15"/>
  <c r="J19" i="15"/>
  <c r="I19" i="15"/>
  <c r="H19" i="15"/>
  <c r="G19" i="15"/>
  <c r="F19" i="15"/>
  <c r="E19" i="15"/>
  <c r="D19" i="15"/>
  <c r="C19" i="15"/>
  <c r="B19" i="15"/>
  <c r="A19" i="15"/>
  <c r="L18" i="15"/>
  <c r="K18" i="15"/>
  <c r="J18" i="15"/>
  <c r="I18" i="15"/>
  <c r="H18" i="15"/>
  <c r="G18" i="15"/>
  <c r="F18" i="15"/>
  <c r="E18" i="15"/>
  <c r="D18" i="15"/>
  <c r="C18" i="15"/>
  <c r="B18" i="15"/>
  <c r="A18" i="15"/>
  <c r="L17" i="15"/>
  <c r="K17" i="15"/>
  <c r="J17" i="15"/>
  <c r="I17" i="15"/>
  <c r="H17" i="15"/>
  <c r="G17" i="15"/>
  <c r="F17" i="15"/>
  <c r="E17" i="15"/>
  <c r="D17" i="15"/>
  <c r="C17" i="15"/>
  <c r="B17" i="15"/>
  <c r="A17" i="15"/>
  <c r="L16" i="15"/>
  <c r="K16" i="15"/>
  <c r="J16" i="15"/>
  <c r="I16" i="15"/>
  <c r="H16" i="15"/>
  <c r="G16" i="15"/>
  <c r="F16" i="15"/>
  <c r="E16" i="15"/>
  <c r="D16" i="15"/>
  <c r="C16" i="15"/>
  <c r="B16" i="15"/>
  <c r="A16" i="15"/>
  <c r="L15" i="15"/>
  <c r="K15" i="15"/>
  <c r="J15" i="15"/>
  <c r="I15" i="15"/>
  <c r="H15" i="15"/>
  <c r="G15" i="15"/>
  <c r="F15" i="15"/>
  <c r="E15" i="15"/>
  <c r="D15" i="15"/>
  <c r="C15" i="15"/>
  <c r="B15" i="15"/>
  <c r="A15" i="15"/>
  <c r="L14" i="15"/>
  <c r="K14" i="15"/>
  <c r="J14" i="15"/>
  <c r="I14" i="15"/>
  <c r="H14" i="15"/>
  <c r="G14" i="15"/>
  <c r="F14" i="15"/>
  <c r="E14" i="15"/>
  <c r="D14" i="15"/>
  <c r="C14" i="15"/>
  <c r="B14" i="15"/>
  <c r="A14" i="15"/>
  <c r="L13" i="15"/>
  <c r="K13" i="15"/>
  <c r="J13" i="15"/>
  <c r="I13" i="15"/>
  <c r="H13" i="15"/>
  <c r="G13" i="15"/>
  <c r="F13" i="15"/>
  <c r="E13" i="15"/>
  <c r="D13" i="15"/>
  <c r="C13" i="15"/>
  <c r="B13" i="15"/>
  <c r="A13" i="15"/>
  <c r="L12" i="15"/>
  <c r="K12" i="15"/>
  <c r="J12" i="15"/>
  <c r="I12" i="15"/>
  <c r="H12" i="15"/>
  <c r="G12" i="15"/>
  <c r="F12" i="15"/>
  <c r="E12" i="15"/>
  <c r="D12" i="15"/>
  <c r="C12" i="15"/>
  <c r="B12" i="15"/>
  <c r="A12" i="15"/>
  <c r="L11" i="15"/>
  <c r="K11" i="15"/>
  <c r="J11" i="15"/>
  <c r="I11" i="15"/>
  <c r="H11" i="15"/>
  <c r="G11" i="15"/>
  <c r="F11" i="15"/>
  <c r="E11" i="15"/>
  <c r="D11" i="15"/>
  <c r="C11" i="15"/>
  <c r="B11" i="15"/>
  <c r="A11" i="15"/>
  <c r="L10" i="15"/>
  <c r="K10" i="15"/>
  <c r="J10" i="15"/>
  <c r="I10" i="15"/>
  <c r="H10" i="15"/>
  <c r="G10" i="15"/>
  <c r="F10" i="15"/>
  <c r="E10" i="15"/>
  <c r="D10" i="15"/>
  <c r="C10" i="15"/>
  <c r="B10" i="15"/>
  <c r="A10" i="15"/>
  <c r="L9" i="15"/>
  <c r="K9" i="15"/>
  <c r="J9" i="15"/>
  <c r="I9" i="15"/>
  <c r="H9" i="15"/>
  <c r="G9" i="15"/>
  <c r="F9" i="15"/>
  <c r="E9" i="15"/>
  <c r="D9" i="15"/>
  <c r="C9" i="15"/>
  <c r="B9" i="15"/>
  <c r="A9" i="15"/>
  <c r="L8" i="15"/>
  <c r="K8" i="15"/>
  <c r="J8" i="15"/>
  <c r="I8" i="15"/>
  <c r="H8" i="15"/>
  <c r="G8" i="15"/>
  <c r="F8" i="15"/>
  <c r="E8" i="15"/>
  <c r="D8" i="15"/>
  <c r="C8" i="15"/>
  <c r="B8" i="15"/>
  <c r="A8" i="15"/>
  <c r="L7" i="15"/>
  <c r="K7" i="15"/>
  <c r="J7" i="15"/>
  <c r="I7" i="15"/>
  <c r="H7" i="15"/>
  <c r="G7" i="15"/>
  <c r="F7" i="15"/>
  <c r="E7" i="15"/>
  <c r="D7" i="15"/>
  <c r="C7" i="15"/>
  <c r="B7" i="15"/>
  <c r="A7" i="15"/>
  <c r="L6" i="15"/>
  <c r="K6" i="15"/>
  <c r="J6" i="15"/>
  <c r="I6" i="15"/>
  <c r="H6" i="15"/>
  <c r="G6" i="15"/>
  <c r="F6" i="15"/>
  <c r="E6" i="15"/>
  <c r="D6" i="15"/>
  <c r="C6" i="15"/>
  <c r="B6" i="15"/>
  <c r="A6" i="15"/>
  <c r="L5" i="15"/>
  <c r="K5" i="15"/>
  <c r="J5" i="15"/>
  <c r="I5" i="15"/>
  <c r="H5" i="15"/>
  <c r="G5" i="15"/>
  <c r="F5" i="15"/>
  <c r="E5" i="15"/>
  <c r="D5" i="15"/>
  <c r="C5" i="15"/>
  <c r="B5" i="15"/>
  <c r="A5" i="15"/>
  <c r="L4" i="15"/>
  <c r="K4" i="15"/>
  <c r="J4" i="15"/>
  <c r="I4" i="15"/>
  <c r="H4" i="15"/>
  <c r="G4" i="15"/>
  <c r="F4" i="15"/>
  <c r="E4" i="15"/>
  <c r="D4" i="15"/>
  <c r="C4" i="15"/>
  <c r="B4" i="15"/>
  <c r="A4" i="15"/>
  <c r="L3" i="15"/>
  <c r="K3" i="15"/>
  <c r="J3" i="15"/>
  <c r="I3" i="15"/>
  <c r="H3" i="15"/>
  <c r="G3" i="15"/>
  <c r="F3" i="15"/>
  <c r="E3" i="15"/>
  <c r="D3" i="15"/>
  <c r="C3" i="15"/>
  <c r="B3" i="15"/>
  <c r="A3" i="15"/>
  <c r="L2" i="15"/>
  <c r="K2" i="15"/>
  <c r="J2" i="15"/>
  <c r="I2" i="15"/>
  <c r="H2" i="15"/>
  <c r="G2" i="15"/>
  <c r="F2" i="15"/>
  <c r="E2" i="15"/>
  <c r="D2" i="15"/>
  <c r="C2" i="15"/>
  <c r="B2" i="15"/>
  <c r="A2" i="15"/>
  <c r="L27" i="13"/>
  <c r="K27" i="13"/>
  <c r="J27" i="13"/>
  <c r="I27" i="13"/>
  <c r="H27" i="13"/>
  <c r="G27" i="13"/>
  <c r="F27" i="13"/>
  <c r="E27" i="13"/>
  <c r="D27" i="13"/>
  <c r="C27" i="13"/>
  <c r="B27" i="13"/>
  <c r="A27" i="13"/>
  <c r="L26" i="13"/>
  <c r="K26" i="13"/>
  <c r="J26" i="13"/>
  <c r="I26" i="13"/>
  <c r="H26" i="13"/>
  <c r="G26" i="13"/>
  <c r="F26" i="13"/>
  <c r="E26" i="13"/>
  <c r="D26" i="13"/>
  <c r="C26" i="13"/>
  <c r="B26" i="13"/>
  <c r="A26" i="13"/>
  <c r="L25" i="13"/>
  <c r="K25" i="13"/>
  <c r="J25" i="13"/>
  <c r="I25" i="13"/>
  <c r="H25" i="13"/>
  <c r="G25" i="13"/>
  <c r="F25" i="13"/>
  <c r="E25" i="13"/>
  <c r="D25" i="13"/>
  <c r="C25" i="13"/>
  <c r="B25" i="13"/>
  <c r="A25" i="13"/>
  <c r="L24" i="13"/>
  <c r="K24" i="13"/>
  <c r="J24" i="13"/>
  <c r="I24" i="13"/>
  <c r="H24" i="13"/>
  <c r="G24" i="13"/>
  <c r="F24" i="13"/>
  <c r="E24" i="13"/>
  <c r="D24" i="13"/>
  <c r="C24" i="13"/>
  <c r="B24" i="13"/>
  <c r="A24" i="13"/>
  <c r="L23" i="13"/>
  <c r="K23" i="13"/>
  <c r="J23" i="13"/>
  <c r="I23" i="13"/>
  <c r="H23" i="13"/>
  <c r="G23" i="13"/>
  <c r="F23" i="13"/>
  <c r="E23" i="13"/>
  <c r="D23" i="13"/>
  <c r="C23" i="13"/>
  <c r="B23" i="13"/>
  <c r="A23" i="13"/>
  <c r="L22" i="13"/>
  <c r="K22" i="13"/>
  <c r="J22" i="13"/>
  <c r="I22" i="13"/>
  <c r="H22" i="13"/>
  <c r="G22" i="13"/>
  <c r="F22" i="13"/>
  <c r="E22" i="13"/>
  <c r="D22" i="13"/>
  <c r="C22" i="13"/>
  <c r="B22" i="13"/>
  <c r="A22" i="13"/>
  <c r="L21" i="13"/>
  <c r="K21" i="13"/>
  <c r="J21" i="13"/>
  <c r="I21" i="13"/>
  <c r="H21" i="13"/>
  <c r="G21" i="13"/>
  <c r="F21" i="13"/>
  <c r="E21" i="13"/>
  <c r="D21" i="13"/>
  <c r="C21" i="13"/>
  <c r="B21" i="13"/>
  <c r="A21" i="13"/>
  <c r="L20" i="13"/>
  <c r="K20" i="13"/>
  <c r="J20" i="13"/>
  <c r="I20" i="13"/>
  <c r="H20" i="13"/>
  <c r="G20" i="13"/>
  <c r="F20" i="13"/>
  <c r="E20" i="13"/>
  <c r="D20" i="13"/>
  <c r="C20" i="13"/>
  <c r="B20" i="13"/>
  <c r="A20" i="13"/>
  <c r="L19" i="13"/>
  <c r="K19" i="13"/>
  <c r="J19" i="13"/>
  <c r="I19" i="13"/>
  <c r="H19" i="13"/>
  <c r="G19" i="13"/>
  <c r="F19" i="13"/>
  <c r="E19" i="13"/>
  <c r="D19" i="13"/>
  <c r="C19" i="13"/>
  <c r="B19" i="13"/>
  <c r="A19" i="13"/>
  <c r="L18" i="13"/>
  <c r="K18" i="13"/>
  <c r="J18" i="13"/>
  <c r="I18" i="13"/>
  <c r="H18" i="13"/>
  <c r="G18" i="13"/>
  <c r="F18" i="13"/>
  <c r="E18" i="13"/>
  <c r="D18" i="13"/>
  <c r="C18" i="13"/>
  <c r="B18" i="13"/>
  <c r="A18" i="13"/>
  <c r="L17" i="13"/>
  <c r="K17" i="13"/>
  <c r="J17" i="13"/>
  <c r="I17" i="13"/>
  <c r="H17" i="13"/>
  <c r="G17" i="13"/>
  <c r="F17" i="13"/>
  <c r="E17" i="13"/>
  <c r="D17" i="13"/>
  <c r="C17" i="13"/>
  <c r="B17" i="13"/>
  <c r="A17" i="13"/>
  <c r="L16" i="13"/>
  <c r="K16" i="13"/>
  <c r="J16" i="13"/>
  <c r="I16" i="13"/>
  <c r="H16" i="13"/>
  <c r="G16" i="13"/>
  <c r="F16" i="13"/>
  <c r="E16" i="13"/>
  <c r="D16" i="13"/>
  <c r="C16" i="13"/>
  <c r="B16" i="13"/>
  <c r="A16" i="13"/>
  <c r="L15" i="13"/>
  <c r="K15" i="13"/>
  <c r="J15" i="13"/>
  <c r="I15" i="13"/>
  <c r="H15" i="13"/>
  <c r="G15" i="13"/>
  <c r="F15" i="13"/>
  <c r="E15" i="13"/>
  <c r="D15" i="13"/>
  <c r="C15" i="13"/>
  <c r="B15" i="13"/>
  <c r="A15" i="13"/>
  <c r="L14" i="13"/>
  <c r="K14" i="13"/>
  <c r="J14" i="13"/>
  <c r="I14" i="13"/>
  <c r="H14" i="13"/>
  <c r="G14" i="13"/>
  <c r="F14" i="13"/>
  <c r="E14" i="13"/>
  <c r="D14" i="13"/>
  <c r="C14" i="13"/>
  <c r="B14" i="13"/>
  <c r="A14" i="13"/>
  <c r="L13" i="13"/>
  <c r="K13" i="13"/>
  <c r="J13" i="13"/>
  <c r="I13" i="13"/>
  <c r="H13" i="13"/>
  <c r="G13" i="13"/>
  <c r="F13" i="13"/>
  <c r="E13" i="13"/>
  <c r="D13" i="13"/>
  <c r="C13" i="13"/>
  <c r="B13" i="13"/>
  <c r="A13" i="13"/>
  <c r="L12" i="13"/>
  <c r="K12" i="13"/>
  <c r="J12" i="13"/>
  <c r="I12" i="13"/>
  <c r="H12" i="13"/>
  <c r="G12" i="13"/>
  <c r="F12" i="13"/>
  <c r="E12" i="13"/>
  <c r="D12" i="13"/>
  <c r="C12" i="13"/>
  <c r="B12" i="13"/>
  <c r="A12" i="13"/>
  <c r="L11" i="13"/>
  <c r="K11" i="13"/>
  <c r="J11" i="13"/>
  <c r="I11" i="13"/>
  <c r="H11" i="13"/>
  <c r="G11" i="13"/>
  <c r="F11" i="13"/>
  <c r="E11" i="13"/>
  <c r="D11" i="13"/>
  <c r="C11" i="13"/>
  <c r="B11" i="13"/>
  <c r="A11" i="13"/>
  <c r="L10" i="13"/>
  <c r="K10" i="13"/>
  <c r="J10" i="13"/>
  <c r="I10" i="13"/>
  <c r="H10" i="13"/>
  <c r="G10" i="13"/>
  <c r="F10" i="13"/>
  <c r="E10" i="13"/>
  <c r="D10" i="13"/>
  <c r="C10" i="13"/>
  <c r="B10" i="13"/>
  <c r="A10" i="13"/>
  <c r="L9" i="13"/>
  <c r="K9" i="13"/>
  <c r="J9" i="13"/>
  <c r="I9" i="13"/>
  <c r="H9" i="13"/>
  <c r="G9" i="13"/>
  <c r="F9" i="13"/>
  <c r="E9" i="13"/>
  <c r="D9" i="13"/>
  <c r="C9" i="13"/>
  <c r="B9" i="13"/>
  <c r="A9" i="13"/>
  <c r="L8" i="13"/>
  <c r="K8" i="13"/>
  <c r="J8" i="13"/>
  <c r="I8" i="13"/>
  <c r="H8" i="13"/>
  <c r="G8" i="13"/>
  <c r="F8" i="13"/>
  <c r="E8" i="13"/>
  <c r="D8" i="13"/>
  <c r="C8" i="13"/>
  <c r="B8" i="13"/>
  <c r="A8" i="13"/>
  <c r="L7" i="13"/>
  <c r="K7" i="13"/>
  <c r="J7" i="13"/>
  <c r="I7" i="13"/>
  <c r="H7" i="13"/>
  <c r="G7" i="13"/>
  <c r="F7" i="13"/>
  <c r="E7" i="13"/>
  <c r="D7" i="13"/>
  <c r="C7" i="13"/>
  <c r="B7" i="13"/>
  <c r="A7" i="13"/>
  <c r="L6" i="13"/>
  <c r="K6" i="13"/>
  <c r="J6" i="13"/>
  <c r="I6" i="13"/>
  <c r="H6" i="13"/>
  <c r="G6" i="13"/>
  <c r="F6" i="13"/>
  <c r="E6" i="13"/>
  <c r="D6" i="13"/>
  <c r="C6" i="13"/>
  <c r="B6" i="13"/>
  <c r="A6" i="13"/>
  <c r="L5" i="13"/>
  <c r="K5" i="13"/>
  <c r="J5" i="13"/>
  <c r="I5" i="13"/>
  <c r="H5" i="13"/>
  <c r="G5" i="13"/>
  <c r="F5" i="13"/>
  <c r="E5" i="13"/>
  <c r="D5" i="13"/>
  <c r="C5" i="13"/>
  <c r="B5" i="13"/>
  <c r="A5" i="13"/>
  <c r="L4" i="13"/>
  <c r="K4" i="13"/>
  <c r="J4" i="13"/>
  <c r="I4" i="13"/>
  <c r="H4" i="13"/>
  <c r="G4" i="13"/>
  <c r="F4" i="13"/>
  <c r="E4" i="13"/>
  <c r="D4" i="13"/>
  <c r="C4" i="13"/>
  <c r="B4" i="13"/>
  <c r="A4" i="13"/>
  <c r="L3" i="13"/>
  <c r="K3" i="13"/>
  <c r="J3" i="13"/>
  <c r="I3" i="13"/>
  <c r="H3" i="13"/>
  <c r="G3" i="13"/>
  <c r="F3" i="13"/>
  <c r="E3" i="13"/>
  <c r="D3" i="13"/>
  <c r="C3" i="13"/>
  <c r="B3" i="13"/>
  <c r="A3" i="13"/>
  <c r="L2" i="13"/>
  <c r="K2" i="13"/>
  <c r="J2" i="13"/>
  <c r="I2" i="13"/>
  <c r="H2" i="13"/>
  <c r="G2" i="13"/>
  <c r="F2" i="13"/>
  <c r="E2" i="13"/>
  <c r="D2" i="13"/>
  <c r="C2" i="13"/>
  <c r="B2" i="13"/>
  <c r="A2" i="13"/>
  <c r="L27" i="14" l="1"/>
  <c r="K27" i="14"/>
  <c r="J27" i="14"/>
  <c r="I27" i="14"/>
  <c r="H27" i="14"/>
  <c r="G27" i="14"/>
  <c r="F27" i="14"/>
  <c r="E27" i="14"/>
  <c r="D27" i="14"/>
  <c r="C27" i="14"/>
  <c r="B27" i="14"/>
  <c r="A27" i="14"/>
  <c r="L26" i="14"/>
  <c r="K26" i="14"/>
  <c r="J26" i="14"/>
  <c r="I26" i="14"/>
  <c r="H26" i="14"/>
  <c r="G26" i="14"/>
  <c r="F26" i="14"/>
  <c r="E26" i="14"/>
  <c r="D26" i="14"/>
  <c r="C26" i="14"/>
  <c r="B26" i="14"/>
  <c r="A26" i="14"/>
  <c r="L25" i="14"/>
  <c r="K25" i="14"/>
  <c r="J25" i="14"/>
  <c r="I25" i="14"/>
  <c r="H25" i="14"/>
  <c r="G25" i="14"/>
  <c r="F25" i="14"/>
  <c r="E25" i="14"/>
  <c r="D25" i="14"/>
  <c r="C25" i="14"/>
  <c r="B25" i="14"/>
  <c r="A25" i="14"/>
  <c r="L24" i="14"/>
  <c r="K24" i="14"/>
  <c r="J24" i="14"/>
  <c r="I24" i="14"/>
  <c r="H24" i="14"/>
  <c r="G24" i="14"/>
  <c r="F24" i="14"/>
  <c r="E24" i="14"/>
  <c r="D24" i="14"/>
  <c r="C24" i="14"/>
  <c r="B24" i="14"/>
  <c r="A24" i="14"/>
  <c r="L23" i="14"/>
  <c r="K23" i="14"/>
  <c r="J23" i="14"/>
  <c r="I23" i="14"/>
  <c r="H23" i="14"/>
  <c r="G23" i="14"/>
  <c r="F23" i="14"/>
  <c r="E23" i="14"/>
  <c r="D23" i="14"/>
  <c r="C23" i="14"/>
  <c r="B23" i="14"/>
  <c r="A23" i="14"/>
  <c r="L22" i="14"/>
  <c r="K22" i="14"/>
  <c r="J22" i="14"/>
  <c r="I22" i="14"/>
  <c r="H22" i="14"/>
  <c r="G22" i="14"/>
  <c r="F22" i="14"/>
  <c r="E22" i="14"/>
  <c r="D22" i="14"/>
  <c r="C22" i="14"/>
  <c r="B22" i="14"/>
  <c r="A22" i="14"/>
  <c r="L21" i="14"/>
  <c r="K21" i="14"/>
  <c r="J21" i="14"/>
  <c r="I21" i="14"/>
  <c r="H21" i="14"/>
  <c r="G21" i="14"/>
  <c r="F21" i="14"/>
  <c r="E21" i="14"/>
  <c r="D21" i="14"/>
  <c r="C21" i="14"/>
  <c r="B21" i="14"/>
  <c r="A21" i="14"/>
  <c r="L20" i="14"/>
  <c r="K20" i="14"/>
  <c r="J20" i="14"/>
  <c r="I20" i="14"/>
  <c r="H20" i="14"/>
  <c r="G20" i="14"/>
  <c r="F20" i="14"/>
  <c r="E20" i="14"/>
  <c r="D20" i="14"/>
  <c r="C20" i="14"/>
  <c r="B20" i="14"/>
  <c r="A20" i="14"/>
  <c r="L19" i="14"/>
  <c r="K19" i="14"/>
  <c r="J19" i="14"/>
  <c r="I19" i="14"/>
  <c r="H19" i="14"/>
  <c r="G19" i="14"/>
  <c r="F19" i="14"/>
  <c r="E19" i="14"/>
  <c r="D19" i="14"/>
  <c r="C19" i="14"/>
  <c r="B19" i="14"/>
  <c r="A19" i="14"/>
  <c r="L18" i="14"/>
  <c r="K18" i="14"/>
  <c r="J18" i="14"/>
  <c r="I18" i="14"/>
  <c r="H18" i="14"/>
  <c r="G18" i="14"/>
  <c r="F18" i="14"/>
  <c r="E18" i="14"/>
  <c r="D18" i="14"/>
  <c r="C18" i="14"/>
  <c r="B18" i="14"/>
  <c r="A18" i="14"/>
  <c r="L17" i="14"/>
  <c r="K17" i="14"/>
  <c r="J17" i="14"/>
  <c r="I17" i="14"/>
  <c r="H17" i="14"/>
  <c r="G17" i="14"/>
  <c r="F17" i="14"/>
  <c r="E17" i="14"/>
  <c r="D17" i="14"/>
  <c r="C17" i="14"/>
  <c r="B17" i="14"/>
  <c r="A17" i="14"/>
  <c r="L16" i="14"/>
  <c r="K16" i="14"/>
  <c r="J16" i="14"/>
  <c r="I16" i="14"/>
  <c r="H16" i="14"/>
  <c r="G16" i="14"/>
  <c r="F16" i="14"/>
  <c r="E16" i="14"/>
  <c r="D16" i="14"/>
  <c r="C16" i="14"/>
  <c r="B16" i="14"/>
  <c r="A16" i="14"/>
  <c r="L15" i="14"/>
  <c r="K15" i="14"/>
  <c r="J15" i="14"/>
  <c r="I15" i="14"/>
  <c r="H15" i="14"/>
  <c r="G15" i="14"/>
  <c r="F15" i="14"/>
  <c r="E15" i="14"/>
  <c r="D15" i="14"/>
  <c r="C15" i="14"/>
  <c r="B15" i="14"/>
  <c r="A15" i="14"/>
  <c r="L14" i="14"/>
  <c r="K14" i="14"/>
  <c r="J14" i="14"/>
  <c r="I14" i="14"/>
  <c r="H14" i="14"/>
  <c r="G14" i="14"/>
  <c r="F14" i="14"/>
  <c r="E14" i="14"/>
  <c r="D14" i="14"/>
  <c r="C14" i="14"/>
  <c r="B14" i="14"/>
  <c r="A14" i="14"/>
  <c r="L13" i="14"/>
  <c r="K13" i="14"/>
  <c r="J13" i="14"/>
  <c r="I13" i="14"/>
  <c r="H13" i="14"/>
  <c r="G13" i="14"/>
  <c r="F13" i="14"/>
  <c r="E13" i="14"/>
  <c r="D13" i="14"/>
  <c r="C13" i="14"/>
  <c r="B13" i="14"/>
  <c r="A13" i="14"/>
  <c r="L12" i="14"/>
  <c r="K12" i="14"/>
  <c r="J12" i="14"/>
  <c r="I12" i="14"/>
  <c r="H12" i="14"/>
  <c r="G12" i="14"/>
  <c r="F12" i="14"/>
  <c r="E12" i="14"/>
  <c r="D12" i="14"/>
  <c r="C12" i="14"/>
  <c r="B12" i="14"/>
  <c r="A12" i="14"/>
  <c r="L11" i="14"/>
  <c r="K11" i="14"/>
  <c r="J11" i="14"/>
  <c r="I11" i="14"/>
  <c r="H11" i="14"/>
  <c r="G11" i="14"/>
  <c r="F11" i="14"/>
  <c r="E11" i="14"/>
  <c r="D11" i="14"/>
  <c r="C11" i="14"/>
  <c r="B11" i="14"/>
  <c r="A11" i="14"/>
  <c r="L10" i="14"/>
  <c r="K10" i="14"/>
  <c r="J10" i="14"/>
  <c r="I10" i="14"/>
  <c r="H10" i="14"/>
  <c r="G10" i="14"/>
  <c r="F10" i="14"/>
  <c r="E10" i="14"/>
  <c r="D10" i="14"/>
  <c r="C10" i="14"/>
  <c r="B10" i="14"/>
  <c r="A10" i="14"/>
  <c r="L9" i="14"/>
  <c r="K9" i="14"/>
  <c r="J9" i="14"/>
  <c r="I9" i="14"/>
  <c r="H9" i="14"/>
  <c r="G9" i="14"/>
  <c r="F9" i="14"/>
  <c r="E9" i="14"/>
  <c r="D9" i="14"/>
  <c r="C9" i="14"/>
  <c r="B9" i="14"/>
  <c r="A9" i="14"/>
  <c r="L8" i="14"/>
  <c r="K8" i="14"/>
  <c r="J8" i="14"/>
  <c r="I8" i="14"/>
  <c r="H8" i="14"/>
  <c r="G8" i="14"/>
  <c r="F8" i="14"/>
  <c r="E8" i="14"/>
  <c r="D8" i="14"/>
  <c r="C8" i="14"/>
  <c r="B8" i="14"/>
  <c r="A8" i="14"/>
  <c r="L7" i="14"/>
  <c r="K7" i="14"/>
  <c r="J7" i="14"/>
  <c r="I7" i="14"/>
  <c r="H7" i="14"/>
  <c r="G7" i="14"/>
  <c r="F7" i="14"/>
  <c r="E7" i="14"/>
  <c r="D7" i="14"/>
  <c r="C7" i="14"/>
  <c r="B7" i="14"/>
  <c r="A7" i="14"/>
  <c r="L6" i="14"/>
  <c r="K6" i="14"/>
  <c r="J6" i="14"/>
  <c r="I6" i="14"/>
  <c r="H6" i="14"/>
  <c r="G6" i="14"/>
  <c r="F6" i="14"/>
  <c r="E6" i="14"/>
  <c r="D6" i="14"/>
  <c r="C6" i="14"/>
  <c r="B6" i="14"/>
  <c r="A6" i="14"/>
  <c r="L5" i="14"/>
  <c r="K5" i="14"/>
  <c r="J5" i="14"/>
  <c r="I5" i="14"/>
  <c r="H5" i="14"/>
  <c r="G5" i="14"/>
  <c r="F5" i="14"/>
  <c r="E5" i="14"/>
  <c r="D5" i="14"/>
  <c r="C5" i="14"/>
  <c r="B5" i="14"/>
  <c r="A5" i="14"/>
  <c r="L4" i="14"/>
  <c r="K4" i="14"/>
  <c r="J4" i="14"/>
  <c r="I4" i="14"/>
  <c r="H4" i="14"/>
  <c r="G4" i="14"/>
  <c r="F4" i="14"/>
  <c r="E4" i="14"/>
  <c r="D4" i="14"/>
  <c r="C4" i="14"/>
  <c r="B4" i="14"/>
  <c r="A4" i="14"/>
  <c r="L3" i="14"/>
  <c r="K3" i="14"/>
  <c r="J3" i="14"/>
  <c r="I3" i="14"/>
  <c r="H3" i="14"/>
  <c r="G3" i="14"/>
  <c r="F3" i="14"/>
  <c r="E3" i="14"/>
  <c r="D3" i="14"/>
  <c r="C3" i="14"/>
  <c r="B3" i="14"/>
  <c r="A3" i="14"/>
  <c r="L2" i="14"/>
  <c r="K2" i="14"/>
  <c r="J2" i="14"/>
  <c r="I2" i="14"/>
  <c r="H2" i="14"/>
  <c r="G2" i="14"/>
  <c r="F2" i="14"/>
  <c r="E2" i="14"/>
  <c r="D2" i="14"/>
  <c r="C2" i="14"/>
  <c r="B2" i="14"/>
  <c r="A2" i="14"/>
  <c r="L27" i="12"/>
  <c r="K27" i="12"/>
  <c r="J27" i="12"/>
  <c r="I27" i="12"/>
  <c r="H27" i="12"/>
  <c r="G27" i="12"/>
  <c r="F27" i="12"/>
  <c r="E27" i="12"/>
  <c r="D27" i="12"/>
  <c r="C27" i="12"/>
  <c r="B27" i="12"/>
  <c r="A27" i="12"/>
  <c r="L26" i="12"/>
  <c r="K26" i="12"/>
  <c r="J26" i="12"/>
  <c r="I26" i="12"/>
  <c r="H26" i="12"/>
  <c r="G26" i="12"/>
  <c r="F26" i="12"/>
  <c r="E26" i="12"/>
  <c r="D26" i="12"/>
  <c r="C26" i="12"/>
  <c r="B26" i="12"/>
  <c r="A26" i="12"/>
  <c r="L25" i="12"/>
  <c r="K25" i="12"/>
  <c r="J25" i="12"/>
  <c r="I25" i="12"/>
  <c r="H25" i="12"/>
  <c r="G25" i="12"/>
  <c r="F25" i="12"/>
  <c r="E25" i="12"/>
  <c r="D25" i="12"/>
  <c r="C25" i="12"/>
  <c r="B25" i="12"/>
  <c r="A25" i="12"/>
  <c r="L24" i="12"/>
  <c r="K24" i="12"/>
  <c r="J24" i="12"/>
  <c r="I24" i="12"/>
  <c r="H24" i="12"/>
  <c r="G24" i="12"/>
  <c r="F24" i="12"/>
  <c r="E24" i="12"/>
  <c r="D24" i="12"/>
  <c r="C24" i="12"/>
  <c r="B24" i="12"/>
  <c r="A24" i="12"/>
  <c r="L23" i="12"/>
  <c r="K23" i="12"/>
  <c r="J23" i="12"/>
  <c r="I23" i="12"/>
  <c r="H23" i="12"/>
  <c r="G23" i="12"/>
  <c r="F23" i="12"/>
  <c r="E23" i="12"/>
  <c r="D23" i="12"/>
  <c r="C23" i="12"/>
  <c r="B23" i="12"/>
  <c r="A23" i="12"/>
  <c r="L22" i="12"/>
  <c r="K22" i="12"/>
  <c r="J22" i="12"/>
  <c r="I22" i="12"/>
  <c r="H22" i="12"/>
  <c r="G22" i="12"/>
  <c r="F22" i="12"/>
  <c r="E22" i="12"/>
  <c r="D22" i="12"/>
  <c r="C22" i="12"/>
  <c r="B22" i="12"/>
  <c r="A22" i="12"/>
  <c r="L21" i="12"/>
  <c r="K21" i="12"/>
  <c r="J21" i="12"/>
  <c r="I21" i="12"/>
  <c r="H21" i="12"/>
  <c r="G21" i="12"/>
  <c r="F21" i="12"/>
  <c r="E21" i="12"/>
  <c r="D21" i="12"/>
  <c r="C21" i="12"/>
  <c r="B21" i="12"/>
  <c r="A21" i="12"/>
  <c r="L20" i="12"/>
  <c r="K20" i="12"/>
  <c r="J20" i="12"/>
  <c r="I20" i="12"/>
  <c r="H20" i="12"/>
  <c r="G20" i="12"/>
  <c r="F20" i="12"/>
  <c r="E20" i="12"/>
  <c r="D20" i="12"/>
  <c r="C20" i="12"/>
  <c r="B20" i="12"/>
  <c r="A20" i="12"/>
  <c r="L19" i="12"/>
  <c r="K19" i="12"/>
  <c r="J19" i="12"/>
  <c r="I19" i="12"/>
  <c r="H19" i="12"/>
  <c r="G19" i="12"/>
  <c r="F19" i="12"/>
  <c r="E19" i="12"/>
  <c r="D19" i="12"/>
  <c r="C19" i="12"/>
  <c r="B19" i="12"/>
  <c r="A19" i="12"/>
  <c r="L18" i="12"/>
  <c r="K18" i="12"/>
  <c r="J18" i="12"/>
  <c r="I18" i="12"/>
  <c r="H18" i="12"/>
  <c r="G18" i="12"/>
  <c r="F18" i="12"/>
  <c r="E18" i="12"/>
  <c r="D18" i="12"/>
  <c r="C18" i="12"/>
  <c r="B18" i="12"/>
  <c r="A18" i="12"/>
  <c r="L17" i="12"/>
  <c r="K17" i="12"/>
  <c r="J17" i="12"/>
  <c r="I17" i="12"/>
  <c r="H17" i="12"/>
  <c r="G17" i="12"/>
  <c r="F17" i="12"/>
  <c r="E17" i="12"/>
  <c r="D17" i="12"/>
  <c r="C17" i="12"/>
  <c r="B17" i="12"/>
  <c r="A17" i="12"/>
  <c r="L16" i="12"/>
  <c r="K16" i="12"/>
  <c r="J16" i="12"/>
  <c r="I16" i="12"/>
  <c r="H16" i="12"/>
  <c r="G16" i="12"/>
  <c r="F16" i="12"/>
  <c r="E16" i="12"/>
  <c r="D16" i="12"/>
  <c r="C16" i="12"/>
  <c r="B16" i="12"/>
  <c r="A16" i="12"/>
  <c r="L15" i="12"/>
  <c r="K15" i="12"/>
  <c r="J15" i="12"/>
  <c r="I15" i="12"/>
  <c r="H15" i="12"/>
  <c r="G15" i="12"/>
  <c r="F15" i="12"/>
  <c r="E15" i="12"/>
  <c r="D15" i="12"/>
  <c r="C15" i="12"/>
  <c r="B15" i="12"/>
  <c r="A15" i="12"/>
  <c r="L14" i="12"/>
  <c r="K14" i="12"/>
  <c r="J14" i="12"/>
  <c r="I14" i="12"/>
  <c r="H14" i="12"/>
  <c r="G14" i="12"/>
  <c r="F14" i="12"/>
  <c r="E14" i="12"/>
  <c r="D14" i="12"/>
  <c r="C14" i="12"/>
  <c r="B14" i="12"/>
  <c r="A14" i="12"/>
  <c r="L13" i="12"/>
  <c r="K13" i="12"/>
  <c r="J13" i="12"/>
  <c r="I13" i="12"/>
  <c r="H13" i="12"/>
  <c r="G13" i="12"/>
  <c r="F13" i="12"/>
  <c r="E13" i="12"/>
  <c r="D13" i="12"/>
  <c r="C13" i="12"/>
  <c r="B13" i="12"/>
  <c r="A13" i="12"/>
  <c r="L12" i="12"/>
  <c r="K12" i="12"/>
  <c r="J12" i="12"/>
  <c r="I12" i="12"/>
  <c r="H12" i="12"/>
  <c r="G12" i="12"/>
  <c r="F12" i="12"/>
  <c r="E12" i="12"/>
  <c r="D12" i="12"/>
  <c r="C12" i="12"/>
  <c r="B12" i="12"/>
  <c r="A12" i="12"/>
  <c r="L11" i="12"/>
  <c r="K11" i="12"/>
  <c r="J11" i="12"/>
  <c r="I11" i="12"/>
  <c r="H11" i="12"/>
  <c r="G11" i="12"/>
  <c r="F11" i="12"/>
  <c r="E11" i="12"/>
  <c r="D11" i="12"/>
  <c r="C11" i="12"/>
  <c r="B11" i="12"/>
  <c r="A11" i="12"/>
  <c r="L10" i="12"/>
  <c r="K10" i="12"/>
  <c r="J10" i="12"/>
  <c r="I10" i="12"/>
  <c r="H10" i="12"/>
  <c r="G10" i="12"/>
  <c r="F10" i="12"/>
  <c r="E10" i="12"/>
  <c r="D10" i="12"/>
  <c r="C10" i="12"/>
  <c r="B10" i="12"/>
  <c r="A10" i="12"/>
  <c r="L9" i="12"/>
  <c r="K9" i="12"/>
  <c r="J9" i="12"/>
  <c r="I9" i="12"/>
  <c r="H9" i="12"/>
  <c r="G9" i="12"/>
  <c r="F9" i="12"/>
  <c r="E9" i="12"/>
  <c r="D9" i="12"/>
  <c r="C9" i="12"/>
  <c r="B9" i="12"/>
  <c r="A9" i="12"/>
  <c r="L8" i="12"/>
  <c r="K8" i="12"/>
  <c r="J8" i="12"/>
  <c r="I8" i="12"/>
  <c r="H8" i="12"/>
  <c r="G8" i="12"/>
  <c r="F8" i="12"/>
  <c r="E8" i="12"/>
  <c r="D8" i="12"/>
  <c r="C8" i="12"/>
  <c r="B8" i="12"/>
  <c r="A8" i="12"/>
  <c r="L7" i="12"/>
  <c r="K7" i="12"/>
  <c r="J7" i="12"/>
  <c r="I7" i="12"/>
  <c r="H7" i="12"/>
  <c r="G7" i="12"/>
  <c r="F7" i="12"/>
  <c r="E7" i="12"/>
  <c r="D7" i="12"/>
  <c r="C7" i="12"/>
  <c r="B7" i="12"/>
  <c r="A7" i="12"/>
  <c r="L6" i="12"/>
  <c r="K6" i="12"/>
  <c r="J6" i="12"/>
  <c r="I6" i="12"/>
  <c r="H6" i="12"/>
  <c r="G6" i="12"/>
  <c r="F6" i="12"/>
  <c r="E6" i="12"/>
  <c r="D6" i="12"/>
  <c r="C6" i="12"/>
  <c r="B6" i="12"/>
  <c r="A6" i="12"/>
  <c r="L5" i="12"/>
  <c r="K5" i="12"/>
  <c r="J5" i="12"/>
  <c r="I5" i="12"/>
  <c r="H5" i="12"/>
  <c r="G5" i="12"/>
  <c r="F5" i="12"/>
  <c r="E5" i="12"/>
  <c r="D5" i="12"/>
  <c r="C5" i="12"/>
  <c r="B5" i="12"/>
  <c r="A5" i="12"/>
  <c r="L4" i="12"/>
  <c r="K4" i="12"/>
  <c r="J4" i="12"/>
  <c r="I4" i="12"/>
  <c r="H4" i="12"/>
  <c r="G4" i="12"/>
  <c r="F4" i="12"/>
  <c r="E4" i="12"/>
  <c r="D4" i="12"/>
  <c r="C4" i="12"/>
  <c r="B4" i="12"/>
  <c r="A4" i="12"/>
  <c r="L3" i="12"/>
  <c r="K3" i="12"/>
  <c r="J3" i="12"/>
  <c r="I3" i="12"/>
  <c r="H3" i="12"/>
  <c r="G3" i="12"/>
  <c r="F3" i="12"/>
  <c r="E3" i="12"/>
  <c r="D3" i="12"/>
  <c r="C3" i="12"/>
  <c r="B3" i="12"/>
  <c r="A3" i="12"/>
  <c r="L2" i="12"/>
  <c r="K2" i="12"/>
  <c r="J2" i="12"/>
  <c r="I2" i="12"/>
  <c r="H2" i="12"/>
  <c r="G2" i="12"/>
  <c r="F2" i="12"/>
  <c r="E2" i="12"/>
  <c r="D2" i="12"/>
  <c r="C2" i="12"/>
  <c r="B2" i="12"/>
  <c r="A2" i="12"/>
  <c r="L27" i="11"/>
  <c r="K27" i="11"/>
  <c r="J27" i="11"/>
  <c r="I27" i="11"/>
  <c r="H27" i="11"/>
  <c r="G27" i="11"/>
  <c r="F27" i="11"/>
  <c r="E27" i="11"/>
  <c r="D27" i="11"/>
  <c r="C27" i="11"/>
  <c r="B27" i="11"/>
  <c r="A27" i="11"/>
  <c r="L26" i="11"/>
  <c r="K26" i="11"/>
  <c r="J26" i="11"/>
  <c r="I26" i="11"/>
  <c r="H26" i="11"/>
  <c r="G26" i="11"/>
  <c r="F26" i="11"/>
  <c r="E26" i="11"/>
  <c r="D26" i="11"/>
  <c r="C26" i="11"/>
  <c r="B26" i="11"/>
  <c r="A26" i="11"/>
  <c r="L25" i="11"/>
  <c r="K25" i="11"/>
  <c r="J25" i="11"/>
  <c r="I25" i="11"/>
  <c r="H25" i="11"/>
  <c r="G25" i="11"/>
  <c r="F25" i="11"/>
  <c r="E25" i="11"/>
  <c r="D25" i="11"/>
  <c r="C25" i="11"/>
  <c r="B25" i="11"/>
  <c r="A25" i="11"/>
  <c r="L24" i="11"/>
  <c r="K24" i="11"/>
  <c r="J24" i="11"/>
  <c r="I24" i="11"/>
  <c r="H24" i="11"/>
  <c r="G24" i="11"/>
  <c r="F24" i="11"/>
  <c r="E24" i="11"/>
  <c r="D24" i="11"/>
  <c r="C24" i="11"/>
  <c r="B24" i="11"/>
  <c r="A24" i="11"/>
  <c r="L23" i="11"/>
  <c r="K23" i="11"/>
  <c r="J23" i="11"/>
  <c r="I23" i="11"/>
  <c r="H23" i="11"/>
  <c r="G23" i="11"/>
  <c r="F23" i="11"/>
  <c r="E23" i="11"/>
  <c r="D23" i="11"/>
  <c r="C23" i="11"/>
  <c r="B23" i="11"/>
  <c r="A23" i="11"/>
  <c r="L22" i="11"/>
  <c r="K22" i="11"/>
  <c r="J22" i="11"/>
  <c r="I22" i="11"/>
  <c r="H22" i="11"/>
  <c r="G22" i="11"/>
  <c r="F22" i="11"/>
  <c r="E22" i="11"/>
  <c r="D22" i="11"/>
  <c r="C22" i="11"/>
  <c r="B22" i="11"/>
  <c r="A22" i="11"/>
  <c r="L21" i="11"/>
  <c r="K21" i="11"/>
  <c r="J21" i="11"/>
  <c r="I21" i="11"/>
  <c r="H21" i="11"/>
  <c r="G21" i="11"/>
  <c r="F21" i="11"/>
  <c r="E21" i="11"/>
  <c r="D21" i="11"/>
  <c r="C21" i="11"/>
  <c r="B21" i="11"/>
  <c r="A21" i="11"/>
  <c r="L20" i="11"/>
  <c r="K20" i="11"/>
  <c r="J20" i="11"/>
  <c r="I20" i="11"/>
  <c r="H20" i="11"/>
  <c r="G20" i="11"/>
  <c r="F20" i="11"/>
  <c r="E20" i="11"/>
  <c r="D20" i="11"/>
  <c r="C20" i="11"/>
  <c r="B20" i="11"/>
  <c r="A20" i="11"/>
  <c r="L19" i="11"/>
  <c r="K19" i="11"/>
  <c r="J19" i="11"/>
  <c r="I19" i="11"/>
  <c r="H19" i="11"/>
  <c r="G19" i="11"/>
  <c r="F19" i="11"/>
  <c r="E19" i="11"/>
  <c r="D19" i="11"/>
  <c r="C19" i="11"/>
  <c r="B19" i="11"/>
  <c r="A19" i="11"/>
  <c r="L18" i="11"/>
  <c r="K18" i="11"/>
  <c r="J18" i="11"/>
  <c r="I18" i="11"/>
  <c r="H18" i="11"/>
  <c r="G18" i="11"/>
  <c r="F18" i="11"/>
  <c r="E18" i="11"/>
  <c r="D18" i="11"/>
  <c r="C18" i="11"/>
  <c r="B18" i="11"/>
  <c r="A18" i="11"/>
  <c r="L17" i="11"/>
  <c r="K17" i="11"/>
  <c r="J17" i="11"/>
  <c r="I17" i="11"/>
  <c r="H17" i="11"/>
  <c r="G17" i="11"/>
  <c r="F17" i="11"/>
  <c r="E17" i="11"/>
  <c r="D17" i="11"/>
  <c r="C17" i="11"/>
  <c r="B17" i="11"/>
  <c r="A17" i="11"/>
  <c r="L16" i="11"/>
  <c r="K16" i="11"/>
  <c r="J16" i="11"/>
  <c r="I16" i="11"/>
  <c r="H16" i="11"/>
  <c r="G16" i="11"/>
  <c r="F16" i="11"/>
  <c r="E16" i="11"/>
  <c r="D16" i="11"/>
  <c r="C16" i="11"/>
  <c r="B16" i="11"/>
  <c r="A16" i="11"/>
  <c r="L15" i="11"/>
  <c r="K15" i="11"/>
  <c r="J15" i="11"/>
  <c r="I15" i="11"/>
  <c r="H15" i="11"/>
  <c r="G15" i="11"/>
  <c r="F15" i="11"/>
  <c r="E15" i="11"/>
  <c r="D15" i="11"/>
  <c r="C15" i="11"/>
  <c r="B15" i="11"/>
  <c r="A15" i="11"/>
  <c r="L14" i="11"/>
  <c r="K14" i="11"/>
  <c r="J14" i="11"/>
  <c r="I14" i="11"/>
  <c r="H14" i="11"/>
  <c r="G14" i="11"/>
  <c r="F14" i="11"/>
  <c r="E14" i="11"/>
  <c r="D14" i="11"/>
  <c r="C14" i="11"/>
  <c r="B14" i="11"/>
  <c r="A14" i="11"/>
  <c r="L13" i="11"/>
  <c r="K13" i="11"/>
  <c r="J13" i="11"/>
  <c r="I13" i="11"/>
  <c r="H13" i="11"/>
  <c r="G13" i="11"/>
  <c r="F13" i="11"/>
  <c r="E13" i="11"/>
  <c r="D13" i="11"/>
  <c r="C13" i="11"/>
  <c r="B13" i="11"/>
  <c r="A13" i="11"/>
  <c r="L12" i="11"/>
  <c r="K12" i="11"/>
  <c r="J12" i="11"/>
  <c r="I12" i="11"/>
  <c r="H12" i="11"/>
  <c r="G12" i="11"/>
  <c r="F12" i="11"/>
  <c r="E12" i="11"/>
  <c r="D12" i="11"/>
  <c r="C12" i="11"/>
  <c r="B12" i="11"/>
  <c r="A12" i="11"/>
  <c r="L11" i="11"/>
  <c r="K11" i="11"/>
  <c r="J11" i="11"/>
  <c r="I11" i="11"/>
  <c r="H11" i="11"/>
  <c r="G11" i="11"/>
  <c r="F11" i="11"/>
  <c r="E11" i="11"/>
  <c r="D11" i="11"/>
  <c r="C11" i="11"/>
  <c r="B11" i="11"/>
  <c r="A11" i="11"/>
  <c r="L10" i="11"/>
  <c r="K10" i="11"/>
  <c r="J10" i="11"/>
  <c r="I10" i="11"/>
  <c r="H10" i="11"/>
  <c r="G10" i="11"/>
  <c r="F10" i="11"/>
  <c r="E10" i="11"/>
  <c r="D10" i="11"/>
  <c r="C10" i="11"/>
  <c r="B10" i="11"/>
  <c r="A10" i="11"/>
  <c r="L9" i="11"/>
  <c r="K9" i="11"/>
  <c r="J9" i="11"/>
  <c r="I9" i="11"/>
  <c r="H9" i="11"/>
  <c r="G9" i="11"/>
  <c r="F9" i="11"/>
  <c r="E9" i="11"/>
  <c r="D9" i="11"/>
  <c r="C9" i="11"/>
  <c r="B9" i="11"/>
  <c r="A9" i="11"/>
  <c r="L8" i="11"/>
  <c r="K8" i="11"/>
  <c r="J8" i="11"/>
  <c r="I8" i="11"/>
  <c r="H8" i="11"/>
  <c r="G8" i="11"/>
  <c r="F8" i="11"/>
  <c r="E8" i="11"/>
  <c r="D8" i="11"/>
  <c r="C8" i="11"/>
  <c r="B8" i="11"/>
  <c r="A8" i="11"/>
  <c r="L7" i="11"/>
  <c r="K7" i="11"/>
  <c r="J7" i="11"/>
  <c r="I7" i="11"/>
  <c r="H7" i="11"/>
  <c r="G7" i="11"/>
  <c r="F7" i="11"/>
  <c r="E7" i="11"/>
  <c r="D7" i="11"/>
  <c r="C7" i="11"/>
  <c r="B7" i="11"/>
  <c r="A7" i="11"/>
  <c r="L6" i="11"/>
  <c r="K6" i="11"/>
  <c r="J6" i="11"/>
  <c r="I6" i="11"/>
  <c r="H6" i="11"/>
  <c r="G6" i="11"/>
  <c r="F6" i="11"/>
  <c r="E6" i="11"/>
  <c r="D6" i="11"/>
  <c r="C6" i="11"/>
  <c r="B6" i="11"/>
  <c r="A6" i="11"/>
  <c r="L5" i="11"/>
  <c r="K5" i="11"/>
  <c r="J5" i="11"/>
  <c r="I5" i="11"/>
  <c r="H5" i="11"/>
  <c r="G5" i="11"/>
  <c r="F5" i="11"/>
  <c r="E5" i="11"/>
  <c r="D5" i="11"/>
  <c r="C5" i="11"/>
  <c r="B5" i="11"/>
  <c r="A5" i="11"/>
  <c r="L4" i="11"/>
  <c r="K4" i="11"/>
  <c r="J4" i="11"/>
  <c r="I4" i="11"/>
  <c r="H4" i="11"/>
  <c r="G4" i="11"/>
  <c r="F4" i="11"/>
  <c r="E4" i="11"/>
  <c r="D4" i="11"/>
  <c r="C4" i="11"/>
  <c r="B4" i="11"/>
  <c r="A4" i="11"/>
  <c r="L3" i="11"/>
  <c r="K3" i="11"/>
  <c r="J3" i="11"/>
  <c r="I3" i="11"/>
  <c r="H3" i="11"/>
  <c r="G3" i="11"/>
  <c r="F3" i="11"/>
  <c r="E3" i="11"/>
  <c r="D3" i="11"/>
  <c r="C3" i="11"/>
  <c r="B3" i="11"/>
  <c r="A3" i="11"/>
  <c r="L2" i="11"/>
  <c r="K2" i="11"/>
  <c r="J2" i="11"/>
  <c r="I2" i="11"/>
  <c r="H2" i="11"/>
  <c r="G2" i="11"/>
  <c r="F2" i="11"/>
  <c r="E2" i="11"/>
  <c r="D2" i="11"/>
  <c r="C2" i="11"/>
  <c r="B2" i="11"/>
  <c r="A2" i="11"/>
  <c r="L27" i="10"/>
  <c r="K27" i="10"/>
  <c r="J27" i="10"/>
  <c r="I27" i="10"/>
  <c r="H27" i="10"/>
  <c r="G27" i="10"/>
  <c r="F27" i="10"/>
  <c r="E27" i="10"/>
  <c r="D27" i="10"/>
  <c r="C27" i="10"/>
  <c r="B27" i="10"/>
  <c r="A27" i="10"/>
  <c r="L26" i="10"/>
  <c r="K26" i="10"/>
  <c r="J26" i="10"/>
  <c r="I26" i="10"/>
  <c r="H26" i="10"/>
  <c r="G26" i="10"/>
  <c r="F26" i="10"/>
  <c r="E26" i="10"/>
  <c r="D26" i="10"/>
  <c r="C26" i="10"/>
  <c r="B26" i="10"/>
  <c r="A26" i="10"/>
  <c r="L25" i="10"/>
  <c r="K25" i="10"/>
  <c r="J25" i="10"/>
  <c r="I25" i="10"/>
  <c r="H25" i="10"/>
  <c r="G25" i="10"/>
  <c r="F25" i="10"/>
  <c r="E25" i="10"/>
  <c r="D25" i="10"/>
  <c r="C25" i="10"/>
  <c r="B25" i="10"/>
  <c r="A25" i="10"/>
  <c r="L24" i="10"/>
  <c r="K24" i="10"/>
  <c r="J24" i="10"/>
  <c r="I24" i="10"/>
  <c r="H24" i="10"/>
  <c r="G24" i="10"/>
  <c r="F24" i="10"/>
  <c r="E24" i="10"/>
  <c r="D24" i="10"/>
  <c r="C24" i="10"/>
  <c r="B24" i="10"/>
  <c r="A24" i="10"/>
  <c r="L23" i="10"/>
  <c r="K23" i="10"/>
  <c r="J23" i="10"/>
  <c r="I23" i="10"/>
  <c r="H23" i="10"/>
  <c r="G23" i="10"/>
  <c r="F23" i="10"/>
  <c r="E23" i="10"/>
  <c r="D23" i="10"/>
  <c r="C23" i="10"/>
  <c r="B23" i="10"/>
  <c r="A23" i="10"/>
  <c r="L22" i="10"/>
  <c r="K22" i="10"/>
  <c r="J22" i="10"/>
  <c r="I22" i="10"/>
  <c r="H22" i="10"/>
  <c r="G22" i="10"/>
  <c r="F22" i="10"/>
  <c r="E22" i="10"/>
  <c r="D22" i="10"/>
  <c r="C22" i="10"/>
  <c r="B22" i="10"/>
  <c r="A22" i="10"/>
  <c r="L21" i="10"/>
  <c r="K21" i="10"/>
  <c r="J21" i="10"/>
  <c r="I21" i="10"/>
  <c r="H21" i="10"/>
  <c r="G21" i="10"/>
  <c r="F21" i="10"/>
  <c r="E21" i="10"/>
  <c r="D21" i="10"/>
  <c r="C21" i="10"/>
  <c r="B21" i="10"/>
  <c r="A21" i="10"/>
  <c r="L20" i="10"/>
  <c r="K20" i="10"/>
  <c r="J20" i="10"/>
  <c r="I20" i="10"/>
  <c r="H20" i="10"/>
  <c r="G20" i="10"/>
  <c r="F20" i="10"/>
  <c r="E20" i="10"/>
  <c r="D20" i="10"/>
  <c r="C20" i="10"/>
  <c r="B20" i="10"/>
  <c r="A20" i="10"/>
  <c r="L19" i="10"/>
  <c r="K19" i="10"/>
  <c r="J19" i="10"/>
  <c r="I19" i="10"/>
  <c r="H19" i="10"/>
  <c r="G19" i="10"/>
  <c r="F19" i="10"/>
  <c r="E19" i="10"/>
  <c r="D19" i="10"/>
  <c r="C19" i="10"/>
  <c r="B19" i="10"/>
  <c r="A19" i="10"/>
  <c r="L18" i="10"/>
  <c r="K18" i="10"/>
  <c r="J18" i="10"/>
  <c r="I18" i="10"/>
  <c r="H18" i="10"/>
  <c r="G18" i="10"/>
  <c r="F18" i="10"/>
  <c r="E18" i="10"/>
  <c r="D18" i="10"/>
  <c r="C18" i="10"/>
  <c r="B18" i="10"/>
  <c r="A18" i="10"/>
  <c r="L17" i="10"/>
  <c r="K17" i="10"/>
  <c r="J17" i="10"/>
  <c r="I17" i="10"/>
  <c r="H17" i="10"/>
  <c r="G17" i="10"/>
  <c r="F17" i="10"/>
  <c r="E17" i="10"/>
  <c r="D17" i="10"/>
  <c r="C17" i="10"/>
  <c r="B17" i="10"/>
  <c r="A17" i="10"/>
  <c r="L16" i="10"/>
  <c r="K16" i="10"/>
  <c r="J16" i="10"/>
  <c r="I16" i="10"/>
  <c r="H16" i="10"/>
  <c r="G16" i="10"/>
  <c r="F16" i="10"/>
  <c r="E16" i="10"/>
  <c r="D16" i="10"/>
  <c r="C16" i="10"/>
  <c r="B16" i="10"/>
  <c r="A16" i="10"/>
  <c r="L15" i="10"/>
  <c r="K15" i="10"/>
  <c r="J15" i="10"/>
  <c r="I15" i="10"/>
  <c r="H15" i="10"/>
  <c r="G15" i="10"/>
  <c r="F15" i="10"/>
  <c r="E15" i="10"/>
  <c r="D15" i="10"/>
  <c r="C15" i="10"/>
  <c r="B15" i="10"/>
  <c r="A15" i="10"/>
  <c r="L14" i="10"/>
  <c r="K14" i="10"/>
  <c r="J14" i="10"/>
  <c r="I14" i="10"/>
  <c r="H14" i="10"/>
  <c r="G14" i="10"/>
  <c r="F14" i="10"/>
  <c r="E14" i="10"/>
  <c r="D14" i="10"/>
  <c r="C14" i="10"/>
  <c r="B14" i="10"/>
  <c r="A14" i="10"/>
  <c r="L13" i="10"/>
  <c r="K13" i="10"/>
  <c r="J13" i="10"/>
  <c r="I13" i="10"/>
  <c r="H13" i="10"/>
  <c r="G13" i="10"/>
  <c r="F13" i="10"/>
  <c r="E13" i="10"/>
  <c r="D13" i="10"/>
  <c r="C13" i="10"/>
  <c r="B13" i="10"/>
  <c r="A13" i="10"/>
  <c r="L12" i="10"/>
  <c r="K12" i="10"/>
  <c r="J12" i="10"/>
  <c r="I12" i="10"/>
  <c r="H12" i="10"/>
  <c r="G12" i="10"/>
  <c r="F12" i="10"/>
  <c r="E12" i="10"/>
  <c r="D12" i="10"/>
  <c r="C12" i="10"/>
  <c r="B12" i="10"/>
  <c r="A12" i="10"/>
  <c r="L11" i="10"/>
  <c r="K11" i="10"/>
  <c r="J11" i="10"/>
  <c r="I11" i="10"/>
  <c r="H11" i="10"/>
  <c r="G11" i="10"/>
  <c r="F11" i="10"/>
  <c r="E11" i="10"/>
  <c r="D11" i="10"/>
  <c r="C11" i="10"/>
  <c r="B11" i="10"/>
  <c r="A11" i="10"/>
  <c r="L10" i="10"/>
  <c r="K10" i="10"/>
  <c r="J10" i="10"/>
  <c r="I10" i="10"/>
  <c r="H10" i="10"/>
  <c r="G10" i="10"/>
  <c r="F10" i="10"/>
  <c r="E10" i="10"/>
  <c r="D10" i="10"/>
  <c r="C10" i="10"/>
  <c r="B10" i="10"/>
  <c r="A10" i="10"/>
  <c r="L9" i="10"/>
  <c r="K9" i="10"/>
  <c r="J9" i="10"/>
  <c r="I9" i="10"/>
  <c r="H9" i="10"/>
  <c r="G9" i="10"/>
  <c r="F9" i="10"/>
  <c r="E9" i="10"/>
  <c r="D9" i="10"/>
  <c r="C9" i="10"/>
  <c r="B9" i="10"/>
  <c r="A9" i="10"/>
  <c r="L8" i="10"/>
  <c r="K8" i="10"/>
  <c r="J8" i="10"/>
  <c r="I8" i="10"/>
  <c r="H8" i="10"/>
  <c r="G8" i="10"/>
  <c r="F8" i="10"/>
  <c r="E8" i="10"/>
  <c r="D8" i="10"/>
  <c r="C8" i="10"/>
  <c r="B8" i="10"/>
  <c r="A8" i="10"/>
  <c r="L7" i="10"/>
  <c r="K7" i="10"/>
  <c r="J7" i="10"/>
  <c r="I7" i="10"/>
  <c r="H7" i="10"/>
  <c r="G7" i="10"/>
  <c r="F7" i="10"/>
  <c r="E7" i="10"/>
  <c r="D7" i="10"/>
  <c r="C7" i="10"/>
  <c r="B7" i="10"/>
  <c r="A7" i="10"/>
  <c r="L6" i="10"/>
  <c r="K6" i="10"/>
  <c r="J6" i="10"/>
  <c r="I6" i="10"/>
  <c r="H6" i="10"/>
  <c r="G6" i="10"/>
  <c r="F6" i="10"/>
  <c r="E6" i="10"/>
  <c r="D6" i="10"/>
  <c r="C6" i="10"/>
  <c r="B6" i="10"/>
  <c r="A6" i="10"/>
  <c r="L5" i="10"/>
  <c r="K5" i="10"/>
  <c r="J5" i="10"/>
  <c r="I5" i="10"/>
  <c r="H5" i="10"/>
  <c r="G5" i="10"/>
  <c r="F5" i="10"/>
  <c r="E5" i="10"/>
  <c r="D5" i="10"/>
  <c r="C5" i="10"/>
  <c r="B5" i="10"/>
  <c r="A5" i="10"/>
  <c r="L4" i="10"/>
  <c r="K4" i="10"/>
  <c r="J4" i="10"/>
  <c r="I4" i="10"/>
  <c r="H4" i="10"/>
  <c r="G4" i="10"/>
  <c r="F4" i="10"/>
  <c r="E4" i="10"/>
  <c r="D4" i="10"/>
  <c r="C4" i="10"/>
  <c r="B4" i="10"/>
  <c r="A4" i="10"/>
  <c r="L3" i="10"/>
  <c r="K3" i="10"/>
  <c r="J3" i="10"/>
  <c r="I3" i="10"/>
  <c r="H3" i="10"/>
  <c r="G3" i="10"/>
  <c r="F3" i="10"/>
  <c r="E3" i="10"/>
  <c r="D3" i="10"/>
  <c r="C3" i="10"/>
  <c r="B3" i="10"/>
  <c r="A3" i="10"/>
  <c r="L2" i="10"/>
  <c r="K2" i="10"/>
  <c r="J2" i="10"/>
  <c r="I2" i="10"/>
  <c r="H2" i="10"/>
  <c r="G2" i="10"/>
  <c r="F2" i="10"/>
  <c r="E2" i="10"/>
  <c r="D2" i="10"/>
  <c r="C2" i="10"/>
  <c r="B2" i="10"/>
  <c r="A2" i="10"/>
  <c r="L27" i="9"/>
  <c r="K27" i="9"/>
  <c r="J27" i="9"/>
  <c r="I27" i="9"/>
  <c r="H27" i="9"/>
  <c r="G27" i="9"/>
  <c r="F27" i="9"/>
  <c r="E27" i="9"/>
  <c r="D27" i="9"/>
  <c r="C27" i="9"/>
  <c r="B27" i="9"/>
  <c r="A27" i="9"/>
  <c r="L26" i="9"/>
  <c r="K26" i="9"/>
  <c r="J26" i="9"/>
  <c r="I26" i="9"/>
  <c r="H26" i="9"/>
  <c r="G26" i="9"/>
  <c r="F26" i="9"/>
  <c r="E26" i="9"/>
  <c r="D26" i="9"/>
  <c r="C26" i="9"/>
  <c r="B26" i="9"/>
  <c r="A26" i="9"/>
  <c r="L25" i="9"/>
  <c r="K25" i="9"/>
  <c r="J25" i="9"/>
  <c r="I25" i="9"/>
  <c r="H25" i="9"/>
  <c r="G25" i="9"/>
  <c r="F25" i="9"/>
  <c r="E25" i="9"/>
  <c r="D25" i="9"/>
  <c r="C25" i="9"/>
  <c r="B25" i="9"/>
  <c r="A25" i="9"/>
  <c r="L24" i="9"/>
  <c r="K24" i="9"/>
  <c r="J24" i="9"/>
  <c r="I24" i="9"/>
  <c r="H24" i="9"/>
  <c r="G24" i="9"/>
  <c r="F24" i="9"/>
  <c r="E24" i="9"/>
  <c r="D24" i="9"/>
  <c r="C24" i="9"/>
  <c r="B24" i="9"/>
  <c r="A24" i="9"/>
  <c r="L23" i="9"/>
  <c r="K23" i="9"/>
  <c r="J23" i="9"/>
  <c r="I23" i="9"/>
  <c r="H23" i="9"/>
  <c r="G23" i="9"/>
  <c r="F23" i="9"/>
  <c r="E23" i="9"/>
  <c r="D23" i="9"/>
  <c r="C23" i="9"/>
  <c r="B23" i="9"/>
  <c r="A23" i="9"/>
  <c r="L22" i="9"/>
  <c r="K22" i="9"/>
  <c r="J22" i="9"/>
  <c r="I22" i="9"/>
  <c r="H22" i="9"/>
  <c r="G22" i="9"/>
  <c r="F22" i="9"/>
  <c r="E22" i="9"/>
  <c r="D22" i="9"/>
  <c r="C22" i="9"/>
  <c r="B22" i="9"/>
  <c r="A22" i="9"/>
  <c r="L21" i="9"/>
  <c r="K21" i="9"/>
  <c r="J21" i="9"/>
  <c r="I21" i="9"/>
  <c r="H21" i="9"/>
  <c r="G21" i="9"/>
  <c r="F21" i="9"/>
  <c r="E21" i="9"/>
  <c r="D21" i="9"/>
  <c r="C21" i="9"/>
  <c r="B21" i="9"/>
  <c r="A21" i="9"/>
  <c r="L20" i="9"/>
  <c r="K20" i="9"/>
  <c r="J20" i="9"/>
  <c r="I20" i="9"/>
  <c r="H20" i="9"/>
  <c r="G20" i="9"/>
  <c r="F20" i="9"/>
  <c r="E20" i="9"/>
  <c r="D20" i="9"/>
  <c r="C20" i="9"/>
  <c r="B20" i="9"/>
  <c r="A20" i="9"/>
  <c r="L19" i="9"/>
  <c r="K19" i="9"/>
  <c r="J19" i="9"/>
  <c r="I19" i="9"/>
  <c r="H19" i="9"/>
  <c r="G19" i="9"/>
  <c r="F19" i="9"/>
  <c r="E19" i="9"/>
  <c r="D19" i="9"/>
  <c r="C19" i="9"/>
  <c r="B19" i="9"/>
  <c r="A19" i="9"/>
  <c r="L18" i="9"/>
  <c r="K18" i="9"/>
  <c r="J18" i="9"/>
  <c r="I18" i="9"/>
  <c r="H18" i="9"/>
  <c r="G18" i="9"/>
  <c r="F18" i="9"/>
  <c r="E18" i="9"/>
  <c r="D18" i="9"/>
  <c r="C18" i="9"/>
  <c r="B18" i="9"/>
  <c r="A18" i="9"/>
  <c r="L17" i="9"/>
  <c r="K17" i="9"/>
  <c r="J17" i="9"/>
  <c r="I17" i="9"/>
  <c r="H17" i="9"/>
  <c r="G17" i="9"/>
  <c r="F17" i="9"/>
  <c r="E17" i="9"/>
  <c r="D17" i="9"/>
  <c r="C17" i="9"/>
  <c r="B17" i="9"/>
  <c r="A17" i="9"/>
  <c r="L16" i="9"/>
  <c r="K16" i="9"/>
  <c r="J16" i="9"/>
  <c r="I16" i="9"/>
  <c r="H16" i="9"/>
  <c r="G16" i="9"/>
  <c r="F16" i="9"/>
  <c r="E16" i="9"/>
  <c r="D16" i="9"/>
  <c r="C16" i="9"/>
  <c r="B16" i="9"/>
  <c r="A16" i="9"/>
  <c r="L15" i="9"/>
  <c r="K15" i="9"/>
  <c r="J15" i="9"/>
  <c r="I15" i="9"/>
  <c r="H15" i="9"/>
  <c r="G15" i="9"/>
  <c r="F15" i="9"/>
  <c r="E15" i="9"/>
  <c r="D15" i="9"/>
  <c r="C15" i="9"/>
  <c r="B15" i="9"/>
  <c r="A15" i="9"/>
  <c r="L14" i="9"/>
  <c r="K14" i="9"/>
  <c r="J14" i="9"/>
  <c r="I14" i="9"/>
  <c r="H14" i="9"/>
  <c r="G14" i="9"/>
  <c r="F14" i="9"/>
  <c r="E14" i="9"/>
  <c r="D14" i="9"/>
  <c r="C14" i="9"/>
  <c r="B14" i="9"/>
  <c r="A14" i="9"/>
  <c r="L13" i="9"/>
  <c r="K13" i="9"/>
  <c r="J13" i="9"/>
  <c r="I13" i="9"/>
  <c r="H13" i="9"/>
  <c r="G13" i="9"/>
  <c r="F13" i="9"/>
  <c r="E13" i="9"/>
  <c r="D13" i="9"/>
  <c r="C13" i="9"/>
  <c r="B13" i="9"/>
  <c r="A13" i="9"/>
  <c r="L12" i="9"/>
  <c r="K12" i="9"/>
  <c r="J12" i="9"/>
  <c r="I12" i="9"/>
  <c r="H12" i="9"/>
  <c r="G12" i="9"/>
  <c r="F12" i="9"/>
  <c r="E12" i="9"/>
  <c r="D12" i="9"/>
  <c r="C12" i="9"/>
  <c r="B12" i="9"/>
  <c r="A12" i="9"/>
  <c r="L11" i="9"/>
  <c r="K11" i="9"/>
  <c r="J11" i="9"/>
  <c r="I11" i="9"/>
  <c r="H11" i="9"/>
  <c r="G11" i="9"/>
  <c r="F11" i="9"/>
  <c r="E11" i="9"/>
  <c r="D11" i="9"/>
  <c r="C11" i="9"/>
  <c r="B11" i="9"/>
  <c r="A11" i="9"/>
  <c r="L10" i="9"/>
  <c r="K10" i="9"/>
  <c r="J10" i="9"/>
  <c r="I10" i="9"/>
  <c r="H10" i="9"/>
  <c r="G10" i="9"/>
  <c r="F10" i="9"/>
  <c r="E10" i="9"/>
  <c r="D10" i="9"/>
  <c r="C10" i="9"/>
  <c r="B10" i="9"/>
  <c r="A10" i="9"/>
  <c r="L9" i="9"/>
  <c r="K9" i="9"/>
  <c r="J9" i="9"/>
  <c r="I9" i="9"/>
  <c r="H9" i="9"/>
  <c r="G9" i="9"/>
  <c r="F9" i="9"/>
  <c r="E9" i="9"/>
  <c r="D9" i="9"/>
  <c r="C9" i="9"/>
  <c r="B9" i="9"/>
  <c r="A9" i="9"/>
  <c r="L8" i="9"/>
  <c r="K8" i="9"/>
  <c r="J8" i="9"/>
  <c r="I8" i="9"/>
  <c r="H8" i="9"/>
  <c r="G8" i="9"/>
  <c r="F8" i="9"/>
  <c r="E8" i="9"/>
  <c r="D8" i="9"/>
  <c r="C8" i="9"/>
  <c r="B8" i="9"/>
  <c r="A8" i="9"/>
  <c r="L7" i="9"/>
  <c r="K7" i="9"/>
  <c r="J7" i="9"/>
  <c r="I7" i="9"/>
  <c r="H7" i="9"/>
  <c r="G7" i="9"/>
  <c r="F7" i="9"/>
  <c r="E7" i="9"/>
  <c r="D7" i="9"/>
  <c r="C7" i="9"/>
  <c r="B7" i="9"/>
  <c r="A7" i="9"/>
  <c r="L6" i="9"/>
  <c r="K6" i="9"/>
  <c r="J6" i="9"/>
  <c r="I6" i="9"/>
  <c r="H6" i="9"/>
  <c r="G6" i="9"/>
  <c r="F6" i="9"/>
  <c r="E6" i="9"/>
  <c r="D6" i="9"/>
  <c r="C6" i="9"/>
  <c r="B6" i="9"/>
  <c r="A6" i="9"/>
  <c r="L5" i="9"/>
  <c r="K5" i="9"/>
  <c r="J5" i="9"/>
  <c r="I5" i="9"/>
  <c r="H5" i="9"/>
  <c r="G5" i="9"/>
  <c r="F5" i="9"/>
  <c r="E5" i="9"/>
  <c r="D5" i="9"/>
  <c r="C5" i="9"/>
  <c r="B5" i="9"/>
  <c r="A5" i="9"/>
  <c r="L4" i="9"/>
  <c r="K4" i="9"/>
  <c r="J4" i="9"/>
  <c r="I4" i="9"/>
  <c r="H4" i="9"/>
  <c r="G4" i="9"/>
  <c r="F4" i="9"/>
  <c r="E4" i="9"/>
  <c r="D4" i="9"/>
  <c r="C4" i="9"/>
  <c r="B4" i="9"/>
  <c r="A4" i="9"/>
  <c r="L3" i="9"/>
  <c r="K3" i="9"/>
  <c r="J3" i="9"/>
  <c r="I3" i="9"/>
  <c r="H3" i="9"/>
  <c r="G3" i="9"/>
  <c r="F3" i="9"/>
  <c r="E3" i="9"/>
  <c r="D3" i="9"/>
  <c r="C3" i="9"/>
  <c r="B3" i="9"/>
  <c r="A3" i="9"/>
  <c r="L2" i="9"/>
  <c r="K2" i="9"/>
  <c r="J2" i="9"/>
  <c r="I2" i="9"/>
  <c r="H2" i="9"/>
  <c r="G2" i="9"/>
  <c r="F2" i="9"/>
  <c r="E2" i="9"/>
  <c r="D2" i="9"/>
  <c r="C2" i="9"/>
  <c r="B2" i="9"/>
  <c r="A2" i="9"/>
  <c r="L27" i="8"/>
  <c r="K27" i="8"/>
  <c r="J27" i="8"/>
  <c r="I27" i="8"/>
  <c r="H27" i="8"/>
  <c r="G27" i="8"/>
  <c r="F27" i="8"/>
  <c r="E27" i="8"/>
  <c r="D27" i="8"/>
  <c r="C27" i="8"/>
  <c r="B27" i="8"/>
  <c r="A27" i="8"/>
  <c r="L26" i="8"/>
  <c r="K26" i="8"/>
  <c r="J26" i="8"/>
  <c r="I26" i="8"/>
  <c r="H26" i="8"/>
  <c r="G26" i="8"/>
  <c r="F26" i="8"/>
  <c r="E26" i="8"/>
  <c r="D26" i="8"/>
  <c r="C26" i="8"/>
  <c r="B26" i="8"/>
  <c r="A26" i="8"/>
  <c r="L25" i="8"/>
  <c r="K25" i="8"/>
  <c r="J25" i="8"/>
  <c r="I25" i="8"/>
  <c r="H25" i="8"/>
  <c r="G25" i="8"/>
  <c r="F25" i="8"/>
  <c r="E25" i="8"/>
  <c r="D25" i="8"/>
  <c r="C25" i="8"/>
  <c r="B25" i="8"/>
  <c r="A25" i="8"/>
  <c r="L24" i="8"/>
  <c r="K24" i="8"/>
  <c r="J24" i="8"/>
  <c r="I24" i="8"/>
  <c r="H24" i="8"/>
  <c r="G24" i="8"/>
  <c r="F24" i="8"/>
  <c r="E24" i="8"/>
  <c r="D24" i="8"/>
  <c r="C24" i="8"/>
  <c r="B24" i="8"/>
  <c r="A24" i="8"/>
  <c r="L23" i="8"/>
  <c r="K23" i="8"/>
  <c r="J23" i="8"/>
  <c r="I23" i="8"/>
  <c r="H23" i="8"/>
  <c r="G23" i="8"/>
  <c r="F23" i="8"/>
  <c r="E23" i="8"/>
  <c r="D23" i="8"/>
  <c r="C23" i="8"/>
  <c r="B23" i="8"/>
  <c r="A23" i="8"/>
  <c r="L22" i="8"/>
  <c r="K22" i="8"/>
  <c r="J22" i="8"/>
  <c r="I22" i="8"/>
  <c r="H22" i="8"/>
  <c r="G22" i="8"/>
  <c r="F22" i="8"/>
  <c r="E22" i="8"/>
  <c r="D22" i="8"/>
  <c r="C22" i="8"/>
  <c r="B22" i="8"/>
  <c r="A22" i="8"/>
  <c r="L21" i="8"/>
  <c r="K21" i="8"/>
  <c r="J21" i="8"/>
  <c r="I21" i="8"/>
  <c r="H21" i="8"/>
  <c r="G21" i="8"/>
  <c r="F21" i="8"/>
  <c r="E21" i="8"/>
  <c r="D21" i="8"/>
  <c r="C21" i="8"/>
  <c r="B21" i="8"/>
  <c r="A21" i="8"/>
  <c r="L20" i="8"/>
  <c r="K20" i="8"/>
  <c r="J20" i="8"/>
  <c r="I20" i="8"/>
  <c r="H20" i="8"/>
  <c r="G20" i="8"/>
  <c r="F20" i="8"/>
  <c r="E20" i="8"/>
  <c r="D20" i="8"/>
  <c r="C20" i="8"/>
  <c r="B20" i="8"/>
  <c r="A20" i="8"/>
  <c r="L19" i="8"/>
  <c r="K19" i="8"/>
  <c r="J19" i="8"/>
  <c r="I19" i="8"/>
  <c r="H19" i="8"/>
  <c r="G19" i="8"/>
  <c r="F19" i="8"/>
  <c r="E19" i="8"/>
  <c r="D19" i="8"/>
  <c r="C19" i="8"/>
  <c r="B19" i="8"/>
  <c r="A19" i="8"/>
  <c r="L18" i="8"/>
  <c r="K18" i="8"/>
  <c r="J18" i="8"/>
  <c r="I18" i="8"/>
  <c r="H18" i="8"/>
  <c r="G18" i="8"/>
  <c r="F18" i="8"/>
  <c r="E18" i="8"/>
  <c r="D18" i="8"/>
  <c r="C18" i="8"/>
  <c r="B18" i="8"/>
  <c r="A18" i="8"/>
  <c r="L17" i="8"/>
  <c r="K17" i="8"/>
  <c r="J17" i="8"/>
  <c r="I17" i="8"/>
  <c r="H17" i="8"/>
  <c r="G17" i="8"/>
  <c r="F17" i="8"/>
  <c r="E17" i="8"/>
  <c r="D17" i="8"/>
  <c r="C17" i="8"/>
  <c r="B17" i="8"/>
  <c r="A17" i="8"/>
  <c r="L16" i="8"/>
  <c r="K16" i="8"/>
  <c r="J16" i="8"/>
  <c r="I16" i="8"/>
  <c r="H16" i="8"/>
  <c r="G16" i="8"/>
  <c r="F16" i="8"/>
  <c r="E16" i="8"/>
  <c r="D16" i="8"/>
  <c r="C16" i="8"/>
  <c r="B16" i="8"/>
  <c r="A16" i="8"/>
  <c r="L15" i="8"/>
  <c r="K15" i="8"/>
  <c r="J15" i="8"/>
  <c r="I15" i="8"/>
  <c r="H15" i="8"/>
  <c r="G15" i="8"/>
  <c r="F15" i="8"/>
  <c r="E15" i="8"/>
  <c r="D15" i="8"/>
  <c r="C15" i="8"/>
  <c r="B15" i="8"/>
  <c r="A15" i="8"/>
  <c r="L14" i="8"/>
  <c r="K14" i="8"/>
  <c r="J14" i="8"/>
  <c r="I14" i="8"/>
  <c r="H14" i="8"/>
  <c r="G14" i="8"/>
  <c r="F14" i="8"/>
  <c r="E14" i="8"/>
  <c r="D14" i="8"/>
  <c r="C14" i="8"/>
  <c r="B14" i="8"/>
  <c r="A14" i="8"/>
  <c r="L13" i="8"/>
  <c r="K13" i="8"/>
  <c r="J13" i="8"/>
  <c r="I13" i="8"/>
  <c r="H13" i="8"/>
  <c r="G13" i="8"/>
  <c r="F13" i="8"/>
  <c r="E13" i="8"/>
  <c r="D13" i="8"/>
  <c r="C13" i="8"/>
  <c r="B13" i="8"/>
  <c r="A13" i="8"/>
  <c r="L12" i="8"/>
  <c r="K12" i="8"/>
  <c r="J12" i="8"/>
  <c r="I12" i="8"/>
  <c r="H12" i="8"/>
  <c r="G12" i="8"/>
  <c r="F12" i="8"/>
  <c r="E12" i="8"/>
  <c r="D12" i="8"/>
  <c r="C12" i="8"/>
  <c r="B12" i="8"/>
  <c r="A12" i="8"/>
  <c r="L11" i="8"/>
  <c r="K11" i="8"/>
  <c r="J11" i="8"/>
  <c r="I11" i="8"/>
  <c r="H11" i="8"/>
  <c r="G11" i="8"/>
  <c r="F11" i="8"/>
  <c r="E11" i="8"/>
  <c r="D11" i="8"/>
  <c r="C11" i="8"/>
  <c r="B11" i="8"/>
  <c r="A11" i="8"/>
  <c r="L10" i="8"/>
  <c r="K10" i="8"/>
  <c r="J10" i="8"/>
  <c r="I10" i="8"/>
  <c r="H10" i="8"/>
  <c r="G10" i="8"/>
  <c r="F10" i="8"/>
  <c r="E10" i="8"/>
  <c r="D10" i="8"/>
  <c r="C10" i="8"/>
  <c r="B10" i="8"/>
  <c r="A10" i="8"/>
  <c r="L9" i="8"/>
  <c r="K9" i="8"/>
  <c r="J9" i="8"/>
  <c r="I9" i="8"/>
  <c r="H9" i="8"/>
  <c r="G9" i="8"/>
  <c r="F9" i="8"/>
  <c r="E9" i="8"/>
  <c r="D9" i="8"/>
  <c r="C9" i="8"/>
  <c r="B9" i="8"/>
  <c r="A9" i="8"/>
  <c r="L8" i="8"/>
  <c r="K8" i="8"/>
  <c r="J8" i="8"/>
  <c r="I8" i="8"/>
  <c r="H8" i="8"/>
  <c r="G8" i="8"/>
  <c r="F8" i="8"/>
  <c r="E8" i="8"/>
  <c r="D8" i="8"/>
  <c r="C8" i="8"/>
  <c r="B8" i="8"/>
  <c r="A8" i="8"/>
  <c r="L7" i="8"/>
  <c r="K7" i="8"/>
  <c r="J7" i="8"/>
  <c r="I7" i="8"/>
  <c r="H7" i="8"/>
  <c r="G7" i="8"/>
  <c r="F7" i="8"/>
  <c r="E7" i="8"/>
  <c r="D7" i="8"/>
  <c r="C7" i="8"/>
  <c r="B7" i="8"/>
  <c r="A7" i="8"/>
  <c r="L6" i="8"/>
  <c r="K6" i="8"/>
  <c r="J6" i="8"/>
  <c r="I6" i="8"/>
  <c r="H6" i="8"/>
  <c r="G6" i="8"/>
  <c r="F6" i="8"/>
  <c r="E6" i="8"/>
  <c r="D6" i="8"/>
  <c r="C6" i="8"/>
  <c r="B6" i="8"/>
  <c r="A6" i="8"/>
  <c r="L5" i="8"/>
  <c r="K5" i="8"/>
  <c r="J5" i="8"/>
  <c r="I5" i="8"/>
  <c r="H5" i="8"/>
  <c r="G5" i="8"/>
  <c r="F5" i="8"/>
  <c r="E5" i="8"/>
  <c r="D5" i="8"/>
  <c r="C5" i="8"/>
  <c r="B5" i="8"/>
  <c r="A5" i="8"/>
  <c r="L4" i="8"/>
  <c r="K4" i="8"/>
  <c r="J4" i="8"/>
  <c r="I4" i="8"/>
  <c r="H4" i="8"/>
  <c r="G4" i="8"/>
  <c r="F4" i="8"/>
  <c r="E4" i="8"/>
  <c r="D4" i="8"/>
  <c r="C4" i="8"/>
  <c r="B4" i="8"/>
  <c r="A4" i="8"/>
  <c r="L3" i="8"/>
  <c r="K3" i="8"/>
  <c r="J3" i="8"/>
  <c r="I3" i="8"/>
  <c r="H3" i="8"/>
  <c r="G3" i="8"/>
  <c r="F3" i="8"/>
  <c r="E3" i="8"/>
  <c r="D3" i="8"/>
  <c r="C3" i="8"/>
  <c r="B3" i="8"/>
  <c r="A3" i="8"/>
  <c r="L2" i="8"/>
  <c r="K2" i="8"/>
  <c r="J2" i="8"/>
  <c r="I2" i="8"/>
  <c r="H2" i="8"/>
  <c r="G2" i="8"/>
  <c r="F2" i="8"/>
  <c r="E2" i="8"/>
  <c r="D2" i="8"/>
  <c r="C2" i="8"/>
  <c r="B2" i="8"/>
  <c r="A2" i="8"/>
  <c r="L27" i="7"/>
  <c r="K27" i="7"/>
  <c r="J27" i="7"/>
  <c r="I27" i="7"/>
  <c r="H27" i="7"/>
  <c r="G27" i="7"/>
  <c r="F27" i="7"/>
  <c r="E27" i="7"/>
  <c r="D27" i="7"/>
  <c r="C27" i="7"/>
  <c r="B27" i="7"/>
  <c r="A27" i="7"/>
  <c r="L26" i="7"/>
  <c r="K26" i="7"/>
  <c r="J26" i="7"/>
  <c r="I26" i="7"/>
  <c r="H26" i="7"/>
  <c r="G26" i="7"/>
  <c r="F26" i="7"/>
  <c r="E26" i="7"/>
  <c r="D26" i="7"/>
  <c r="C26" i="7"/>
  <c r="B26" i="7"/>
  <c r="A26" i="7"/>
  <c r="L25" i="7"/>
  <c r="K25" i="7"/>
  <c r="J25" i="7"/>
  <c r="I25" i="7"/>
  <c r="H25" i="7"/>
  <c r="G25" i="7"/>
  <c r="F25" i="7"/>
  <c r="E25" i="7"/>
  <c r="D25" i="7"/>
  <c r="C25" i="7"/>
  <c r="B25" i="7"/>
  <c r="A25" i="7"/>
  <c r="L24" i="7"/>
  <c r="K24" i="7"/>
  <c r="J24" i="7"/>
  <c r="I24" i="7"/>
  <c r="H24" i="7"/>
  <c r="G24" i="7"/>
  <c r="F24" i="7"/>
  <c r="E24" i="7"/>
  <c r="D24" i="7"/>
  <c r="C24" i="7"/>
  <c r="B24" i="7"/>
  <c r="A24" i="7"/>
  <c r="L23" i="7"/>
  <c r="K23" i="7"/>
  <c r="J23" i="7"/>
  <c r="I23" i="7"/>
  <c r="H23" i="7"/>
  <c r="G23" i="7"/>
  <c r="F23" i="7"/>
  <c r="E23" i="7"/>
  <c r="D23" i="7"/>
  <c r="C23" i="7"/>
  <c r="B23" i="7"/>
  <c r="A23" i="7"/>
  <c r="L22" i="7"/>
  <c r="K22" i="7"/>
  <c r="J22" i="7"/>
  <c r="I22" i="7"/>
  <c r="H22" i="7"/>
  <c r="G22" i="7"/>
  <c r="F22" i="7"/>
  <c r="E22" i="7"/>
  <c r="D22" i="7"/>
  <c r="C22" i="7"/>
  <c r="B22" i="7"/>
  <c r="A22" i="7"/>
  <c r="L21" i="7"/>
  <c r="K21" i="7"/>
  <c r="J21" i="7"/>
  <c r="I21" i="7"/>
  <c r="H21" i="7"/>
  <c r="G21" i="7"/>
  <c r="F21" i="7"/>
  <c r="E21" i="7"/>
  <c r="D21" i="7"/>
  <c r="C21" i="7"/>
  <c r="B21" i="7"/>
  <c r="A21" i="7"/>
  <c r="L20" i="7"/>
  <c r="K20" i="7"/>
  <c r="J20" i="7"/>
  <c r="I20" i="7"/>
  <c r="H20" i="7"/>
  <c r="G20" i="7"/>
  <c r="F20" i="7"/>
  <c r="E20" i="7"/>
  <c r="D20" i="7"/>
  <c r="C20" i="7"/>
  <c r="B20" i="7"/>
  <c r="A20" i="7"/>
  <c r="L19" i="7"/>
  <c r="K19" i="7"/>
  <c r="J19" i="7"/>
  <c r="I19" i="7"/>
  <c r="H19" i="7"/>
  <c r="G19" i="7"/>
  <c r="F19" i="7"/>
  <c r="E19" i="7"/>
  <c r="D19" i="7"/>
  <c r="C19" i="7"/>
  <c r="B19" i="7"/>
  <c r="A19" i="7"/>
  <c r="L18" i="7"/>
  <c r="K18" i="7"/>
  <c r="J18" i="7"/>
  <c r="I18" i="7"/>
  <c r="H18" i="7"/>
  <c r="G18" i="7"/>
  <c r="F18" i="7"/>
  <c r="E18" i="7"/>
  <c r="D18" i="7"/>
  <c r="C18" i="7"/>
  <c r="B18" i="7"/>
  <c r="A18" i="7"/>
  <c r="L17" i="7"/>
  <c r="K17" i="7"/>
  <c r="J17" i="7"/>
  <c r="I17" i="7"/>
  <c r="H17" i="7"/>
  <c r="G17" i="7"/>
  <c r="F17" i="7"/>
  <c r="E17" i="7"/>
  <c r="D17" i="7"/>
  <c r="C17" i="7"/>
  <c r="B17" i="7"/>
  <c r="A17" i="7"/>
  <c r="L16" i="7"/>
  <c r="K16" i="7"/>
  <c r="J16" i="7"/>
  <c r="I16" i="7"/>
  <c r="H16" i="7"/>
  <c r="G16" i="7"/>
  <c r="F16" i="7"/>
  <c r="E16" i="7"/>
  <c r="D16" i="7"/>
  <c r="C16" i="7"/>
  <c r="B16" i="7"/>
  <c r="A16" i="7"/>
  <c r="L15" i="7"/>
  <c r="K15" i="7"/>
  <c r="J15" i="7"/>
  <c r="I15" i="7"/>
  <c r="H15" i="7"/>
  <c r="G15" i="7"/>
  <c r="F15" i="7"/>
  <c r="E15" i="7"/>
  <c r="D15" i="7"/>
  <c r="C15" i="7"/>
  <c r="B15" i="7"/>
  <c r="A15" i="7"/>
  <c r="L14" i="7"/>
  <c r="K14" i="7"/>
  <c r="J14" i="7"/>
  <c r="I14" i="7"/>
  <c r="H14" i="7"/>
  <c r="G14" i="7"/>
  <c r="F14" i="7"/>
  <c r="E14" i="7"/>
  <c r="D14" i="7"/>
  <c r="C14" i="7"/>
  <c r="B14" i="7"/>
  <c r="A14" i="7"/>
  <c r="L13" i="7"/>
  <c r="K13" i="7"/>
  <c r="J13" i="7"/>
  <c r="I13" i="7"/>
  <c r="H13" i="7"/>
  <c r="G13" i="7"/>
  <c r="F13" i="7"/>
  <c r="E13" i="7"/>
  <c r="D13" i="7"/>
  <c r="C13" i="7"/>
  <c r="B13" i="7"/>
  <c r="A13" i="7"/>
  <c r="L12" i="7"/>
  <c r="K12" i="7"/>
  <c r="J12" i="7"/>
  <c r="I12" i="7"/>
  <c r="H12" i="7"/>
  <c r="G12" i="7"/>
  <c r="F12" i="7"/>
  <c r="E12" i="7"/>
  <c r="D12" i="7"/>
  <c r="C12" i="7"/>
  <c r="B12" i="7"/>
  <c r="A12" i="7"/>
  <c r="L11" i="7"/>
  <c r="K11" i="7"/>
  <c r="J11" i="7"/>
  <c r="I11" i="7"/>
  <c r="H11" i="7"/>
  <c r="G11" i="7"/>
  <c r="F11" i="7"/>
  <c r="E11" i="7"/>
  <c r="D11" i="7"/>
  <c r="C11" i="7"/>
  <c r="B11" i="7"/>
  <c r="A11" i="7"/>
  <c r="L10" i="7"/>
  <c r="K10" i="7"/>
  <c r="J10" i="7"/>
  <c r="I10" i="7"/>
  <c r="H10" i="7"/>
  <c r="G10" i="7"/>
  <c r="F10" i="7"/>
  <c r="E10" i="7"/>
  <c r="D10" i="7"/>
  <c r="C10" i="7"/>
  <c r="B10" i="7"/>
  <c r="A10" i="7"/>
  <c r="L9" i="7"/>
  <c r="K9" i="7"/>
  <c r="J9" i="7"/>
  <c r="I9" i="7"/>
  <c r="H9" i="7"/>
  <c r="G9" i="7"/>
  <c r="F9" i="7"/>
  <c r="E9" i="7"/>
  <c r="D9" i="7"/>
  <c r="C9" i="7"/>
  <c r="B9" i="7"/>
  <c r="A9" i="7"/>
  <c r="L8" i="7"/>
  <c r="K8" i="7"/>
  <c r="J8" i="7"/>
  <c r="I8" i="7"/>
  <c r="H8" i="7"/>
  <c r="G8" i="7"/>
  <c r="F8" i="7"/>
  <c r="E8" i="7"/>
  <c r="D8" i="7"/>
  <c r="C8" i="7"/>
  <c r="B8" i="7"/>
  <c r="A8" i="7"/>
  <c r="L7" i="7"/>
  <c r="K7" i="7"/>
  <c r="J7" i="7"/>
  <c r="I7" i="7"/>
  <c r="H7" i="7"/>
  <c r="G7" i="7"/>
  <c r="F7" i="7"/>
  <c r="E7" i="7"/>
  <c r="D7" i="7"/>
  <c r="C7" i="7"/>
  <c r="B7" i="7"/>
  <c r="A7" i="7"/>
  <c r="L6" i="7"/>
  <c r="K6" i="7"/>
  <c r="J6" i="7"/>
  <c r="I6" i="7"/>
  <c r="H6" i="7"/>
  <c r="G6" i="7"/>
  <c r="F6" i="7"/>
  <c r="E6" i="7"/>
  <c r="D6" i="7"/>
  <c r="C6" i="7"/>
  <c r="B6" i="7"/>
  <c r="A6" i="7"/>
  <c r="L5" i="7"/>
  <c r="K5" i="7"/>
  <c r="J5" i="7"/>
  <c r="I5" i="7"/>
  <c r="H5" i="7"/>
  <c r="G5" i="7"/>
  <c r="F5" i="7"/>
  <c r="E5" i="7"/>
  <c r="D5" i="7"/>
  <c r="C5" i="7"/>
  <c r="B5" i="7"/>
  <c r="A5" i="7"/>
  <c r="L4" i="7"/>
  <c r="K4" i="7"/>
  <c r="J4" i="7"/>
  <c r="I4" i="7"/>
  <c r="H4" i="7"/>
  <c r="G4" i="7"/>
  <c r="F4" i="7"/>
  <c r="E4" i="7"/>
  <c r="D4" i="7"/>
  <c r="C4" i="7"/>
  <c r="B4" i="7"/>
  <c r="A4" i="7"/>
  <c r="L3" i="7"/>
  <c r="K3" i="7"/>
  <c r="J3" i="7"/>
  <c r="I3" i="7"/>
  <c r="H3" i="7"/>
  <c r="G3" i="7"/>
  <c r="F3" i="7"/>
  <c r="E3" i="7"/>
  <c r="D3" i="7"/>
  <c r="C3" i="7"/>
  <c r="B3" i="7"/>
  <c r="A3" i="7"/>
  <c r="L2" i="7"/>
  <c r="K2" i="7"/>
  <c r="J2" i="7"/>
  <c r="I2" i="7"/>
  <c r="H2" i="7"/>
  <c r="G2" i="7"/>
  <c r="F2" i="7"/>
  <c r="E2" i="7"/>
  <c r="D2" i="7"/>
  <c r="C2" i="7"/>
  <c r="B2" i="7"/>
  <c r="A2" i="7"/>
  <c r="L27" i="6"/>
  <c r="K27" i="6"/>
  <c r="J27" i="6"/>
  <c r="I27" i="6"/>
  <c r="H27" i="6"/>
  <c r="G27" i="6"/>
  <c r="F27" i="6"/>
  <c r="E27" i="6"/>
  <c r="D27" i="6"/>
  <c r="C27" i="6"/>
  <c r="B27" i="6"/>
  <c r="A27" i="6"/>
  <c r="L26" i="6"/>
  <c r="K26" i="6"/>
  <c r="J26" i="6"/>
  <c r="I26" i="6"/>
  <c r="H26" i="6"/>
  <c r="G26" i="6"/>
  <c r="F26" i="6"/>
  <c r="E26" i="6"/>
  <c r="D26" i="6"/>
  <c r="C26" i="6"/>
  <c r="B26" i="6"/>
  <c r="A26" i="6"/>
  <c r="L25" i="6"/>
  <c r="K25" i="6"/>
  <c r="J25" i="6"/>
  <c r="I25" i="6"/>
  <c r="H25" i="6"/>
  <c r="G25" i="6"/>
  <c r="F25" i="6"/>
  <c r="E25" i="6"/>
  <c r="D25" i="6"/>
  <c r="C25" i="6"/>
  <c r="B25" i="6"/>
  <c r="A25" i="6"/>
  <c r="L24" i="6"/>
  <c r="K24" i="6"/>
  <c r="J24" i="6"/>
  <c r="I24" i="6"/>
  <c r="H24" i="6"/>
  <c r="G24" i="6"/>
  <c r="F24" i="6"/>
  <c r="E24" i="6"/>
  <c r="D24" i="6"/>
  <c r="C24" i="6"/>
  <c r="B24" i="6"/>
  <c r="A24" i="6"/>
  <c r="L23" i="6"/>
  <c r="K23" i="6"/>
  <c r="J23" i="6"/>
  <c r="I23" i="6"/>
  <c r="H23" i="6"/>
  <c r="G23" i="6"/>
  <c r="F23" i="6"/>
  <c r="E23" i="6"/>
  <c r="D23" i="6"/>
  <c r="C23" i="6"/>
  <c r="B23" i="6"/>
  <c r="A23" i="6"/>
  <c r="L22" i="6"/>
  <c r="K22" i="6"/>
  <c r="J22" i="6"/>
  <c r="I22" i="6"/>
  <c r="H22" i="6"/>
  <c r="G22" i="6"/>
  <c r="F22" i="6"/>
  <c r="E22" i="6"/>
  <c r="D22" i="6"/>
  <c r="C22" i="6"/>
  <c r="B22" i="6"/>
  <c r="A22" i="6"/>
  <c r="L21" i="6"/>
  <c r="K21" i="6"/>
  <c r="J21" i="6"/>
  <c r="I21" i="6"/>
  <c r="H21" i="6"/>
  <c r="G21" i="6"/>
  <c r="F21" i="6"/>
  <c r="E21" i="6"/>
  <c r="D21" i="6"/>
  <c r="C21" i="6"/>
  <c r="B21" i="6"/>
  <c r="A21" i="6"/>
  <c r="L20" i="6"/>
  <c r="K20" i="6"/>
  <c r="J20" i="6"/>
  <c r="I20" i="6"/>
  <c r="H20" i="6"/>
  <c r="G20" i="6"/>
  <c r="F20" i="6"/>
  <c r="E20" i="6"/>
  <c r="D20" i="6"/>
  <c r="C20" i="6"/>
  <c r="B20" i="6"/>
  <c r="A20" i="6"/>
  <c r="L19" i="6"/>
  <c r="K19" i="6"/>
  <c r="J19" i="6"/>
  <c r="I19" i="6"/>
  <c r="H19" i="6"/>
  <c r="G19" i="6"/>
  <c r="F19" i="6"/>
  <c r="E19" i="6"/>
  <c r="D19" i="6"/>
  <c r="C19" i="6"/>
  <c r="B19" i="6"/>
  <c r="A19" i="6"/>
  <c r="L18" i="6"/>
  <c r="K18" i="6"/>
  <c r="J18" i="6"/>
  <c r="I18" i="6"/>
  <c r="H18" i="6"/>
  <c r="G18" i="6"/>
  <c r="F18" i="6"/>
  <c r="E18" i="6"/>
  <c r="D18" i="6"/>
  <c r="C18" i="6"/>
  <c r="B18" i="6"/>
  <c r="A18" i="6"/>
  <c r="L17" i="6"/>
  <c r="K17" i="6"/>
  <c r="J17" i="6"/>
  <c r="I17" i="6"/>
  <c r="H17" i="6"/>
  <c r="G17" i="6"/>
  <c r="F17" i="6"/>
  <c r="E17" i="6"/>
  <c r="D17" i="6"/>
  <c r="C17" i="6"/>
  <c r="B17" i="6"/>
  <c r="A17" i="6"/>
  <c r="L16" i="6"/>
  <c r="K16" i="6"/>
  <c r="J16" i="6"/>
  <c r="I16" i="6"/>
  <c r="H16" i="6"/>
  <c r="G16" i="6"/>
  <c r="F16" i="6"/>
  <c r="E16" i="6"/>
  <c r="D16" i="6"/>
  <c r="C16" i="6"/>
  <c r="B16" i="6"/>
  <c r="A16" i="6"/>
  <c r="L15" i="6"/>
  <c r="K15" i="6"/>
  <c r="J15" i="6"/>
  <c r="I15" i="6"/>
  <c r="H15" i="6"/>
  <c r="G15" i="6"/>
  <c r="F15" i="6"/>
  <c r="E15" i="6"/>
  <c r="D15" i="6"/>
  <c r="C15" i="6"/>
  <c r="B15" i="6"/>
  <c r="A15" i="6"/>
  <c r="L14" i="6"/>
  <c r="K14" i="6"/>
  <c r="J14" i="6"/>
  <c r="I14" i="6"/>
  <c r="H14" i="6"/>
  <c r="G14" i="6"/>
  <c r="F14" i="6"/>
  <c r="E14" i="6"/>
  <c r="D14" i="6"/>
  <c r="C14" i="6"/>
  <c r="B14" i="6"/>
  <c r="A14" i="6"/>
  <c r="L13" i="6"/>
  <c r="K13" i="6"/>
  <c r="J13" i="6"/>
  <c r="I13" i="6"/>
  <c r="H13" i="6"/>
  <c r="G13" i="6"/>
  <c r="F13" i="6"/>
  <c r="E13" i="6"/>
  <c r="D13" i="6"/>
  <c r="C13" i="6"/>
  <c r="B13" i="6"/>
  <c r="A13" i="6"/>
  <c r="L12" i="6"/>
  <c r="K12" i="6"/>
  <c r="J12" i="6"/>
  <c r="I12" i="6"/>
  <c r="H12" i="6"/>
  <c r="G12" i="6"/>
  <c r="F12" i="6"/>
  <c r="E12" i="6"/>
  <c r="D12" i="6"/>
  <c r="C12" i="6"/>
  <c r="B12" i="6"/>
  <c r="A12" i="6"/>
  <c r="L11" i="6"/>
  <c r="K11" i="6"/>
  <c r="J11" i="6"/>
  <c r="I11" i="6"/>
  <c r="H11" i="6"/>
  <c r="G11" i="6"/>
  <c r="F11" i="6"/>
  <c r="E11" i="6"/>
  <c r="D11" i="6"/>
  <c r="C11" i="6"/>
  <c r="B11" i="6"/>
  <c r="A11" i="6"/>
  <c r="L10" i="6"/>
  <c r="K10" i="6"/>
  <c r="J10" i="6"/>
  <c r="I10" i="6"/>
  <c r="H10" i="6"/>
  <c r="G10" i="6"/>
  <c r="F10" i="6"/>
  <c r="E10" i="6"/>
  <c r="D10" i="6"/>
  <c r="C10" i="6"/>
  <c r="B10" i="6"/>
  <c r="A10" i="6"/>
  <c r="L9" i="6"/>
  <c r="K9" i="6"/>
  <c r="J9" i="6"/>
  <c r="I9" i="6"/>
  <c r="H9" i="6"/>
  <c r="G9" i="6"/>
  <c r="F9" i="6"/>
  <c r="E9" i="6"/>
  <c r="D9" i="6"/>
  <c r="C9" i="6"/>
  <c r="B9" i="6"/>
  <c r="A9" i="6"/>
  <c r="L8" i="6"/>
  <c r="K8" i="6"/>
  <c r="J8" i="6"/>
  <c r="I8" i="6"/>
  <c r="H8" i="6"/>
  <c r="G8" i="6"/>
  <c r="F8" i="6"/>
  <c r="E8" i="6"/>
  <c r="D8" i="6"/>
  <c r="C8" i="6"/>
  <c r="B8" i="6"/>
  <c r="A8" i="6"/>
  <c r="L7" i="6"/>
  <c r="K7" i="6"/>
  <c r="J7" i="6"/>
  <c r="I7" i="6"/>
  <c r="H7" i="6"/>
  <c r="G7" i="6"/>
  <c r="F7" i="6"/>
  <c r="E7" i="6"/>
  <c r="D7" i="6"/>
  <c r="C7" i="6"/>
  <c r="B7" i="6"/>
  <c r="A7" i="6"/>
  <c r="L6" i="6"/>
  <c r="K6" i="6"/>
  <c r="J6" i="6"/>
  <c r="I6" i="6"/>
  <c r="H6" i="6"/>
  <c r="G6" i="6"/>
  <c r="F6" i="6"/>
  <c r="E6" i="6"/>
  <c r="D6" i="6"/>
  <c r="C6" i="6"/>
  <c r="B6" i="6"/>
  <c r="A6" i="6"/>
  <c r="L5" i="6"/>
  <c r="K5" i="6"/>
  <c r="J5" i="6"/>
  <c r="I5" i="6"/>
  <c r="H5" i="6"/>
  <c r="G5" i="6"/>
  <c r="F5" i="6"/>
  <c r="E5" i="6"/>
  <c r="D5" i="6"/>
  <c r="C5" i="6"/>
  <c r="B5" i="6"/>
  <c r="A5" i="6"/>
  <c r="L4" i="6"/>
  <c r="K4" i="6"/>
  <c r="J4" i="6"/>
  <c r="I4" i="6"/>
  <c r="H4" i="6"/>
  <c r="G4" i="6"/>
  <c r="F4" i="6"/>
  <c r="E4" i="6"/>
  <c r="D4" i="6"/>
  <c r="C4" i="6"/>
  <c r="B4" i="6"/>
  <c r="A4" i="6"/>
  <c r="L3" i="6"/>
  <c r="K3" i="6"/>
  <c r="J3" i="6"/>
  <c r="I3" i="6"/>
  <c r="H3" i="6"/>
  <c r="G3" i="6"/>
  <c r="F3" i="6"/>
  <c r="E3" i="6"/>
  <c r="D3" i="6"/>
  <c r="C3" i="6"/>
  <c r="B3" i="6"/>
  <c r="A3" i="6"/>
  <c r="L2" i="6"/>
  <c r="K2" i="6"/>
  <c r="J2" i="6"/>
  <c r="I2" i="6"/>
  <c r="H2" i="6"/>
  <c r="G2" i="6"/>
  <c r="F2" i="6"/>
  <c r="E2" i="6"/>
  <c r="D2" i="6"/>
  <c r="C2" i="6"/>
  <c r="B2" i="6"/>
  <c r="A2" i="6"/>
  <c r="L27" i="5"/>
  <c r="K27" i="5"/>
  <c r="J27" i="5"/>
  <c r="I27" i="5"/>
  <c r="H27" i="5"/>
  <c r="G27" i="5"/>
  <c r="F27" i="5"/>
  <c r="E27" i="5"/>
  <c r="D27" i="5"/>
  <c r="C27" i="5"/>
  <c r="B27" i="5"/>
  <c r="A27" i="5"/>
  <c r="L26" i="5"/>
  <c r="K26" i="5"/>
  <c r="J26" i="5"/>
  <c r="I26" i="5"/>
  <c r="H26" i="5"/>
  <c r="G26" i="5"/>
  <c r="F26" i="5"/>
  <c r="E26" i="5"/>
  <c r="D26" i="5"/>
  <c r="C26" i="5"/>
  <c r="B26" i="5"/>
  <c r="A26" i="5"/>
  <c r="L25" i="5"/>
  <c r="K25" i="5"/>
  <c r="J25" i="5"/>
  <c r="I25" i="5"/>
  <c r="H25" i="5"/>
  <c r="G25" i="5"/>
  <c r="F25" i="5"/>
  <c r="E25" i="5"/>
  <c r="D25" i="5"/>
  <c r="C25" i="5"/>
  <c r="B25" i="5"/>
  <c r="A25" i="5"/>
  <c r="L24" i="5"/>
  <c r="K24" i="5"/>
  <c r="J24" i="5"/>
  <c r="I24" i="5"/>
  <c r="H24" i="5"/>
  <c r="G24" i="5"/>
  <c r="F24" i="5"/>
  <c r="E24" i="5"/>
  <c r="D24" i="5"/>
  <c r="C24" i="5"/>
  <c r="B24" i="5"/>
  <c r="A24" i="5"/>
  <c r="L23" i="5"/>
  <c r="K23" i="5"/>
  <c r="J23" i="5"/>
  <c r="I23" i="5"/>
  <c r="H23" i="5"/>
  <c r="G23" i="5"/>
  <c r="F23" i="5"/>
  <c r="E23" i="5"/>
  <c r="D23" i="5"/>
  <c r="C23" i="5"/>
  <c r="B23" i="5"/>
  <c r="A23" i="5"/>
  <c r="L22" i="5"/>
  <c r="K22" i="5"/>
  <c r="J22" i="5"/>
  <c r="I22" i="5"/>
  <c r="H22" i="5"/>
  <c r="G22" i="5"/>
  <c r="F22" i="5"/>
  <c r="E22" i="5"/>
  <c r="D22" i="5"/>
  <c r="C22" i="5"/>
  <c r="B22" i="5"/>
  <c r="A22" i="5"/>
  <c r="L21" i="5"/>
  <c r="K21" i="5"/>
  <c r="J21" i="5"/>
  <c r="I21" i="5"/>
  <c r="H21" i="5"/>
  <c r="G21" i="5"/>
  <c r="F21" i="5"/>
  <c r="E21" i="5"/>
  <c r="D21" i="5"/>
  <c r="C21" i="5"/>
  <c r="B21" i="5"/>
  <c r="A21" i="5"/>
  <c r="L20" i="5"/>
  <c r="K20" i="5"/>
  <c r="J20" i="5"/>
  <c r="I20" i="5"/>
  <c r="H20" i="5"/>
  <c r="G20" i="5"/>
  <c r="F20" i="5"/>
  <c r="E20" i="5"/>
  <c r="D20" i="5"/>
  <c r="C20" i="5"/>
  <c r="B20" i="5"/>
  <c r="A20" i="5"/>
  <c r="L19" i="5"/>
  <c r="K19" i="5"/>
  <c r="J19" i="5"/>
  <c r="I19" i="5"/>
  <c r="H19" i="5"/>
  <c r="G19" i="5"/>
  <c r="F19" i="5"/>
  <c r="E19" i="5"/>
  <c r="D19" i="5"/>
  <c r="C19" i="5"/>
  <c r="B19" i="5"/>
  <c r="A19" i="5"/>
  <c r="L18" i="5"/>
  <c r="K18" i="5"/>
  <c r="J18" i="5"/>
  <c r="I18" i="5"/>
  <c r="H18" i="5"/>
  <c r="G18" i="5"/>
  <c r="F18" i="5"/>
  <c r="E18" i="5"/>
  <c r="D18" i="5"/>
  <c r="C18" i="5"/>
  <c r="B18" i="5"/>
  <c r="A18" i="5"/>
  <c r="L17" i="5"/>
  <c r="K17" i="5"/>
  <c r="J17" i="5"/>
  <c r="I17" i="5"/>
  <c r="H17" i="5"/>
  <c r="G17" i="5"/>
  <c r="F17" i="5"/>
  <c r="E17" i="5"/>
  <c r="D17" i="5"/>
  <c r="C17" i="5"/>
  <c r="B17" i="5"/>
  <c r="A17" i="5"/>
  <c r="L16" i="5"/>
  <c r="K16" i="5"/>
  <c r="J16" i="5"/>
  <c r="I16" i="5"/>
  <c r="H16" i="5"/>
  <c r="G16" i="5"/>
  <c r="F16" i="5"/>
  <c r="E16" i="5"/>
  <c r="D16" i="5"/>
  <c r="C16" i="5"/>
  <c r="B16" i="5"/>
  <c r="A16" i="5"/>
  <c r="L15" i="5"/>
  <c r="K15" i="5"/>
  <c r="J15" i="5"/>
  <c r="I15" i="5"/>
  <c r="H15" i="5"/>
  <c r="G15" i="5"/>
  <c r="F15" i="5"/>
  <c r="E15" i="5"/>
  <c r="D15" i="5"/>
  <c r="C15" i="5"/>
  <c r="B15" i="5"/>
  <c r="A15" i="5"/>
  <c r="L14" i="5"/>
  <c r="K14" i="5"/>
  <c r="J14" i="5"/>
  <c r="I14" i="5"/>
  <c r="H14" i="5"/>
  <c r="G14" i="5"/>
  <c r="F14" i="5"/>
  <c r="E14" i="5"/>
  <c r="D14" i="5"/>
  <c r="C14" i="5"/>
  <c r="B14" i="5"/>
  <c r="A14" i="5"/>
  <c r="L13" i="5"/>
  <c r="K13" i="5"/>
  <c r="J13" i="5"/>
  <c r="I13" i="5"/>
  <c r="H13" i="5"/>
  <c r="G13" i="5"/>
  <c r="F13" i="5"/>
  <c r="E13" i="5"/>
  <c r="D13" i="5"/>
  <c r="C13" i="5"/>
  <c r="B13" i="5"/>
  <c r="A13" i="5"/>
  <c r="L12" i="5"/>
  <c r="K12" i="5"/>
  <c r="J12" i="5"/>
  <c r="I12" i="5"/>
  <c r="H12" i="5"/>
  <c r="G12" i="5"/>
  <c r="F12" i="5"/>
  <c r="E12" i="5"/>
  <c r="D12" i="5"/>
  <c r="C12" i="5"/>
  <c r="B12" i="5"/>
  <c r="A12" i="5"/>
  <c r="L11" i="5"/>
  <c r="K11" i="5"/>
  <c r="J11" i="5"/>
  <c r="I11" i="5"/>
  <c r="H11" i="5"/>
  <c r="G11" i="5"/>
  <c r="F11" i="5"/>
  <c r="E11" i="5"/>
  <c r="D11" i="5"/>
  <c r="C11" i="5"/>
  <c r="B11" i="5"/>
  <c r="A11" i="5"/>
  <c r="L10" i="5"/>
  <c r="K10" i="5"/>
  <c r="J10" i="5"/>
  <c r="I10" i="5"/>
  <c r="H10" i="5"/>
  <c r="G10" i="5"/>
  <c r="F10" i="5"/>
  <c r="E10" i="5"/>
  <c r="D10" i="5"/>
  <c r="C10" i="5"/>
  <c r="B10" i="5"/>
  <c r="A10" i="5"/>
  <c r="L9" i="5"/>
  <c r="K9" i="5"/>
  <c r="J9" i="5"/>
  <c r="I9" i="5"/>
  <c r="H9" i="5"/>
  <c r="G9" i="5"/>
  <c r="F9" i="5"/>
  <c r="E9" i="5"/>
  <c r="D9" i="5"/>
  <c r="C9" i="5"/>
  <c r="B9" i="5"/>
  <c r="A9" i="5"/>
  <c r="L8" i="5"/>
  <c r="K8" i="5"/>
  <c r="J8" i="5"/>
  <c r="I8" i="5"/>
  <c r="H8" i="5"/>
  <c r="G8" i="5"/>
  <c r="F8" i="5"/>
  <c r="E8" i="5"/>
  <c r="D8" i="5"/>
  <c r="C8" i="5"/>
  <c r="B8" i="5"/>
  <c r="A8" i="5"/>
  <c r="L7" i="5"/>
  <c r="K7" i="5"/>
  <c r="J7" i="5"/>
  <c r="I7" i="5"/>
  <c r="H7" i="5"/>
  <c r="G7" i="5"/>
  <c r="F7" i="5"/>
  <c r="E7" i="5"/>
  <c r="D7" i="5"/>
  <c r="C7" i="5"/>
  <c r="B7" i="5"/>
  <c r="A7" i="5"/>
  <c r="L6" i="5"/>
  <c r="K6" i="5"/>
  <c r="J6" i="5"/>
  <c r="I6" i="5"/>
  <c r="H6" i="5"/>
  <c r="G6" i="5"/>
  <c r="F6" i="5"/>
  <c r="E6" i="5"/>
  <c r="D6" i="5"/>
  <c r="C6" i="5"/>
  <c r="B6" i="5"/>
  <c r="A6" i="5"/>
  <c r="L5" i="5"/>
  <c r="K5" i="5"/>
  <c r="J5" i="5"/>
  <c r="I5" i="5"/>
  <c r="H5" i="5"/>
  <c r="G5" i="5"/>
  <c r="F5" i="5"/>
  <c r="E5" i="5"/>
  <c r="D5" i="5"/>
  <c r="C5" i="5"/>
  <c r="B5" i="5"/>
  <c r="A5" i="5"/>
  <c r="L4" i="5"/>
  <c r="K4" i="5"/>
  <c r="J4" i="5"/>
  <c r="I4" i="5"/>
  <c r="H4" i="5"/>
  <c r="G4" i="5"/>
  <c r="F4" i="5"/>
  <c r="E4" i="5"/>
  <c r="D4" i="5"/>
  <c r="C4" i="5"/>
  <c r="B4" i="5"/>
  <c r="A4" i="5"/>
  <c r="L3" i="5"/>
  <c r="K3" i="5"/>
  <c r="J3" i="5"/>
  <c r="I3" i="5"/>
  <c r="H3" i="5"/>
  <c r="G3" i="5"/>
  <c r="F3" i="5"/>
  <c r="E3" i="5"/>
  <c r="D3" i="5"/>
  <c r="C3" i="5"/>
  <c r="B3" i="5"/>
  <c r="A3" i="5"/>
  <c r="L2" i="5"/>
  <c r="K2" i="5"/>
  <c r="J2" i="5"/>
  <c r="I2" i="5"/>
  <c r="H2" i="5"/>
  <c r="G2" i="5"/>
  <c r="F2" i="5"/>
  <c r="E2" i="5"/>
  <c r="D2" i="5"/>
  <c r="C2" i="5"/>
  <c r="B2" i="5"/>
  <c r="A2" i="5"/>
  <c r="L27" i="4"/>
  <c r="K27" i="4"/>
  <c r="J27" i="4"/>
  <c r="I27" i="4"/>
  <c r="H27" i="4"/>
  <c r="G27" i="4"/>
  <c r="F27" i="4"/>
  <c r="E27" i="4"/>
  <c r="D27" i="4"/>
  <c r="C27" i="4"/>
  <c r="B27" i="4"/>
  <c r="A27" i="4"/>
  <c r="L26" i="4"/>
  <c r="K26" i="4"/>
  <c r="J26" i="4"/>
  <c r="I26" i="4"/>
  <c r="H26" i="4"/>
  <c r="G26" i="4"/>
  <c r="F26" i="4"/>
  <c r="E26" i="4"/>
  <c r="D26" i="4"/>
  <c r="C26" i="4"/>
  <c r="B26" i="4"/>
  <c r="A26" i="4"/>
  <c r="L25" i="4"/>
  <c r="K25" i="4"/>
  <c r="J25" i="4"/>
  <c r="I25" i="4"/>
  <c r="H25" i="4"/>
  <c r="G25" i="4"/>
  <c r="F25" i="4"/>
  <c r="E25" i="4"/>
  <c r="D25" i="4"/>
  <c r="C25" i="4"/>
  <c r="B25" i="4"/>
  <c r="A25" i="4"/>
  <c r="L24" i="4"/>
  <c r="K24" i="4"/>
  <c r="J24" i="4"/>
  <c r="I24" i="4"/>
  <c r="H24" i="4"/>
  <c r="G24" i="4"/>
  <c r="F24" i="4"/>
  <c r="E24" i="4"/>
  <c r="D24" i="4"/>
  <c r="C24" i="4"/>
  <c r="B24" i="4"/>
  <c r="A24" i="4"/>
  <c r="L23" i="4"/>
  <c r="K23" i="4"/>
  <c r="J23" i="4"/>
  <c r="I23" i="4"/>
  <c r="H23" i="4"/>
  <c r="G23" i="4"/>
  <c r="F23" i="4"/>
  <c r="E23" i="4"/>
  <c r="D23" i="4"/>
  <c r="C23" i="4"/>
  <c r="B23" i="4"/>
  <c r="A23" i="4"/>
  <c r="L22" i="4"/>
  <c r="K22" i="4"/>
  <c r="J22" i="4"/>
  <c r="I22" i="4"/>
  <c r="H22" i="4"/>
  <c r="G22" i="4"/>
  <c r="F22" i="4"/>
  <c r="E22" i="4"/>
  <c r="D22" i="4"/>
  <c r="C22" i="4"/>
  <c r="B22" i="4"/>
  <c r="A22" i="4"/>
  <c r="L21" i="4"/>
  <c r="K21" i="4"/>
  <c r="J21" i="4"/>
  <c r="I21" i="4"/>
  <c r="H21" i="4"/>
  <c r="G21" i="4"/>
  <c r="F21" i="4"/>
  <c r="E21" i="4"/>
  <c r="D21" i="4"/>
  <c r="C21" i="4"/>
  <c r="B21" i="4"/>
  <c r="A21" i="4"/>
  <c r="L20" i="4"/>
  <c r="K20" i="4"/>
  <c r="J20" i="4"/>
  <c r="I20" i="4"/>
  <c r="H20" i="4"/>
  <c r="G20" i="4"/>
  <c r="F20" i="4"/>
  <c r="E20" i="4"/>
  <c r="D20" i="4"/>
  <c r="C20" i="4"/>
  <c r="B20" i="4"/>
  <c r="A20" i="4"/>
  <c r="L19" i="4"/>
  <c r="K19" i="4"/>
  <c r="J19" i="4"/>
  <c r="I19" i="4"/>
  <c r="H19" i="4"/>
  <c r="G19" i="4"/>
  <c r="F19" i="4"/>
  <c r="E19" i="4"/>
  <c r="D19" i="4"/>
  <c r="C19" i="4"/>
  <c r="B19" i="4"/>
  <c r="A19" i="4"/>
  <c r="L18" i="4"/>
  <c r="K18" i="4"/>
  <c r="J18" i="4"/>
  <c r="I18" i="4"/>
  <c r="H18" i="4"/>
  <c r="G18" i="4"/>
  <c r="F18" i="4"/>
  <c r="E18" i="4"/>
  <c r="D18" i="4"/>
  <c r="C18" i="4"/>
  <c r="B18" i="4"/>
  <c r="A18" i="4"/>
  <c r="L17" i="4"/>
  <c r="K17" i="4"/>
  <c r="J17" i="4"/>
  <c r="I17" i="4"/>
  <c r="H17" i="4"/>
  <c r="G17" i="4"/>
  <c r="F17" i="4"/>
  <c r="E17" i="4"/>
  <c r="D17" i="4"/>
  <c r="C17" i="4"/>
  <c r="B17" i="4"/>
  <c r="A17" i="4"/>
  <c r="L16" i="4"/>
  <c r="K16" i="4"/>
  <c r="J16" i="4"/>
  <c r="I16" i="4"/>
  <c r="H16" i="4"/>
  <c r="G16" i="4"/>
  <c r="F16" i="4"/>
  <c r="E16" i="4"/>
  <c r="D16" i="4"/>
  <c r="C16" i="4"/>
  <c r="B16" i="4"/>
  <c r="A16" i="4"/>
  <c r="L15" i="4"/>
  <c r="K15" i="4"/>
  <c r="J15" i="4"/>
  <c r="I15" i="4"/>
  <c r="H15" i="4"/>
  <c r="G15" i="4"/>
  <c r="F15" i="4"/>
  <c r="E15" i="4"/>
  <c r="D15" i="4"/>
  <c r="C15" i="4"/>
  <c r="B15" i="4"/>
  <c r="A15" i="4"/>
  <c r="L14" i="4"/>
  <c r="K14" i="4"/>
  <c r="J14" i="4"/>
  <c r="I14" i="4"/>
  <c r="H14" i="4"/>
  <c r="G14" i="4"/>
  <c r="F14" i="4"/>
  <c r="E14" i="4"/>
  <c r="D14" i="4"/>
  <c r="C14" i="4"/>
  <c r="B14" i="4"/>
  <c r="A14" i="4"/>
  <c r="L13" i="4"/>
  <c r="K13" i="4"/>
  <c r="J13" i="4"/>
  <c r="I13" i="4"/>
  <c r="H13" i="4"/>
  <c r="G13" i="4"/>
  <c r="F13" i="4"/>
  <c r="E13" i="4"/>
  <c r="D13" i="4"/>
  <c r="C13" i="4"/>
  <c r="B13" i="4"/>
  <c r="A13" i="4"/>
  <c r="L12" i="4"/>
  <c r="K12" i="4"/>
  <c r="J12" i="4"/>
  <c r="I12" i="4"/>
  <c r="H12" i="4"/>
  <c r="G12" i="4"/>
  <c r="F12" i="4"/>
  <c r="E12" i="4"/>
  <c r="D12" i="4"/>
  <c r="C12" i="4"/>
  <c r="B12" i="4"/>
  <c r="A12" i="4"/>
  <c r="L11" i="4"/>
  <c r="K11" i="4"/>
  <c r="J11" i="4"/>
  <c r="I11" i="4"/>
  <c r="H11" i="4"/>
  <c r="G11" i="4"/>
  <c r="F11" i="4"/>
  <c r="E11" i="4"/>
  <c r="D11" i="4"/>
  <c r="C11" i="4"/>
  <c r="B11" i="4"/>
  <c r="A11" i="4"/>
  <c r="L10" i="4"/>
  <c r="K10" i="4"/>
  <c r="J10" i="4"/>
  <c r="I10" i="4"/>
  <c r="H10" i="4"/>
  <c r="G10" i="4"/>
  <c r="F10" i="4"/>
  <c r="E10" i="4"/>
  <c r="D10" i="4"/>
  <c r="C10" i="4"/>
  <c r="B10" i="4"/>
  <c r="A10" i="4"/>
  <c r="L9" i="4"/>
  <c r="K9" i="4"/>
  <c r="J9" i="4"/>
  <c r="I9" i="4"/>
  <c r="H9" i="4"/>
  <c r="G9" i="4"/>
  <c r="F9" i="4"/>
  <c r="E9" i="4"/>
  <c r="D9" i="4"/>
  <c r="C9" i="4"/>
  <c r="B9" i="4"/>
  <c r="A9" i="4"/>
  <c r="L8" i="4"/>
  <c r="K8" i="4"/>
  <c r="J8" i="4"/>
  <c r="I8" i="4"/>
  <c r="H8" i="4"/>
  <c r="G8" i="4"/>
  <c r="F8" i="4"/>
  <c r="E8" i="4"/>
  <c r="D8" i="4"/>
  <c r="C8" i="4"/>
  <c r="B8" i="4"/>
  <c r="A8" i="4"/>
  <c r="L7" i="4"/>
  <c r="K7" i="4"/>
  <c r="J7" i="4"/>
  <c r="I7" i="4"/>
  <c r="H7" i="4"/>
  <c r="G7" i="4"/>
  <c r="F7" i="4"/>
  <c r="E7" i="4"/>
  <c r="D7" i="4"/>
  <c r="C7" i="4"/>
  <c r="B7" i="4"/>
  <c r="A7" i="4"/>
  <c r="L6" i="4"/>
  <c r="K6" i="4"/>
  <c r="J6" i="4"/>
  <c r="I6" i="4"/>
  <c r="H6" i="4"/>
  <c r="G6" i="4"/>
  <c r="F6" i="4"/>
  <c r="E6" i="4"/>
  <c r="D6" i="4"/>
  <c r="C6" i="4"/>
  <c r="B6" i="4"/>
  <c r="A6" i="4"/>
  <c r="L5" i="4"/>
  <c r="K5" i="4"/>
  <c r="J5" i="4"/>
  <c r="I5" i="4"/>
  <c r="H5" i="4"/>
  <c r="G5" i="4"/>
  <c r="F5" i="4"/>
  <c r="E5" i="4"/>
  <c r="D5" i="4"/>
  <c r="C5" i="4"/>
  <c r="B5" i="4"/>
  <c r="A5" i="4"/>
  <c r="L4" i="4"/>
  <c r="K4" i="4"/>
  <c r="J4" i="4"/>
  <c r="I4" i="4"/>
  <c r="H4" i="4"/>
  <c r="G4" i="4"/>
  <c r="F4" i="4"/>
  <c r="E4" i="4"/>
  <c r="D4" i="4"/>
  <c r="C4" i="4"/>
  <c r="B4" i="4"/>
  <c r="A4" i="4"/>
  <c r="L3" i="4"/>
  <c r="K3" i="4"/>
  <c r="J3" i="4"/>
  <c r="I3" i="4"/>
  <c r="H3" i="4"/>
  <c r="G3" i="4"/>
  <c r="F3" i="4"/>
  <c r="E3" i="4"/>
  <c r="D3" i="4"/>
  <c r="C3" i="4"/>
  <c r="B3" i="4"/>
  <c r="A3" i="4"/>
  <c r="L2" i="4"/>
  <c r="K2" i="4"/>
  <c r="J2" i="4"/>
  <c r="I2" i="4"/>
  <c r="H2" i="4"/>
  <c r="G2" i="4"/>
  <c r="F2" i="4"/>
  <c r="E2" i="4"/>
  <c r="D2" i="4"/>
  <c r="C2" i="4"/>
  <c r="B2" i="4"/>
  <c r="A2" i="4"/>
  <c r="L27" i="3" l="1"/>
  <c r="K27" i="3"/>
  <c r="J27" i="3"/>
  <c r="I27" i="3"/>
  <c r="H27" i="3"/>
  <c r="G27" i="3"/>
  <c r="F27" i="3"/>
  <c r="E27" i="3"/>
  <c r="D27" i="3"/>
  <c r="C27" i="3"/>
  <c r="B27" i="3"/>
  <c r="A27" i="3"/>
  <c r="L26" i="3"/>
  <c r="K26" i="3"/>
  <c r="J26" i="3"/>
  <c r="I26" i="3"/>
  <c r="H26" i="3"/>
  <c r="G26" i="3"/>
  <c r="F26" i="3"/>
  <c r="E26" i="3"/>
  <c r="D26" i="3"/>
  <c r="C26" i="3"/>
  <c r="B26" i="3"/>
  <c r="A26" i="3"/>
  <c r="L25" i="3"/>
  <c r="K25" i="3"/>
  <c r="J25" i="3"/>
  <c r="I25" i="3"/>
  <c r="H25" i="3"/>
  <c r="G25" i="3"/>
  <c r="F25" i="3"/>
  <c r="E25" i="3"/>
  <c r="D25" i="3"/>
  <c r="C25" i="3"/>
  <c r="B25" i="3"/>
  <c r="A25" i="3"/>
  <c r="L24" i="3"/>
  <c r="K24" i="3"/>
  <c r="J24" i="3"/>
  <c r="I24" i="3"/>
  <c r="H24" i="3"/>
  <c r="G24" i="3"/>
  <c r="F24" i="3"/>
  <c r="E24" i="3"/>
  <c r="D24" i="3"/>
  <c r="C24" i="3"/>
  <c r="B24" i="3"/>
  <c r="A24" i="3"/>
  <c r="L23" i="3"/>
  <c r="K23" i="3"/>
  <c r="J23" i="3"/>
  <c r="I23" i="3"/>
  <c r="H23" i="3"/>
  <c r="G23" i="3"/>
  <c r="F23" i="3"/>
  <c r="E23" i="3"/>
  <c r="D23" i="3"/>
  <c r="C23" i="3"/>
  <c r="B23" i="3"/>
  <c r="A23" i="3"/>
  <c r="L22" i="3"/>
  <c r="K22" i="3"/>
  <c r="J22" i="3"/>
  <c r="I22" i="3"/>
  <c r="H22" i="3"/>
  <c r="G22" i="3"/>
  <c r="F22" i="3"/>
  <c r="E22" i="3"/>
  <c r="D22" i="3"/>
  <c r="C22" i="3"/>
  <c r="B22" i="3"/>
  <c r="A22" i="3"/>
  <c r="L21" i="3"/>
  <c r="K21" i="3"/>
  <c r="J21" i="3"/>
  <c r="I21" i="3"/>
  <c r="H21" i="3"/>
  <c r="G21" i="3"/>
  <c r="F21" i="3"/>
  <c r="E21" i="3"/>
  <c r="D21" i="3"/>
  <c r="C21" i="3"/>
  <c r="B21" i="3"/>
  <c r="A21" i="3"/>
  <c r="L20" i="3"/>
  <c r="K20" i="3"/>
  <c r="J20" i="3"/>
  <c r="I20" i="3"/>
  <c r="H20" i="3"/>
  <c r="G20" i="3"/>
  <c r="F20" i="3"/>
  <c r="E20" i="3"/>
  <c r="D20" i="3"/>
  <c r="C20" i="3"/>
  <c r="B20" i="3"/>
  <c r="A20" i="3"/>
  <c r="L19" i="3"/>
  <c r="K19" i="3"/>
  <c r="J19" i="3"/>
  <c r="I19" i="3"/>
  <c r="H19" i="3"/>
  <c r="G19" i="3"/>
  <c r="F19" i="3"/>
  <c r="E19" i="3"/>
  <c r="D19" i="3"/>
  <c r="C19" i="3"/>
  <c r="B19" i="3"/>
  <c r="A19" i="3"/>
  <c r="L18" i="3"/>
  <c r="K18" i="3"/>
  <c r="J18" i="3"/>
  <c r="I18" i="3"/>
  <c r="H18" i="3"/>
  <c r="G18" i="3"/>
  <c r="F18" i="3"/>
  <c r="E18" i="3"/>
  <c r="D18" i="3"/>
  <c r="C18" i="3"/>
  <c r="B18" i="3"/>
  <c r="A18" i="3"/>
  <c r="L17" i="3"/>
  <c r="K17" i="3"/>
  <c r="J17" i="3"/>
  <c r="I17" i="3"/>
  <c r="H17" i="3"/>
  <c r="G17" i="3"/>
  <c r="F17" i="3"/>
  <c r="E17" i="3"/>
  <c r="D17" i="3"/>
  <c r="C17" i="3"/>
  <c r="B17" i="3"/>
  <c r="A17" i="3"/>
  <c r="L16" i="3"/>
  <c r="K16" i="3"/>
  <c r="J16" i="3"/>
  <c r="I16" i="3"/>
  <c r="H16" i="3"/>
  <c r="G16" i="3"/>
  <c r="F16" i="3"/>
  <c r="E16" i="3"/>
  <c r="D16" i="3"/>
  <c r="C16" i="3"/>
  <c r="B16" i="3"/>
  <c r="A16" i="3"/>
  <c r="L15" i="3"/>
  <c r="K15" i="3"/>
  <c r="J15" i="3"/>
  <c r="I15" i="3"/>
  <c r="H15" i="3"/>
  <c r="G15" i="3"/>
  <c r="F15" i="3"/>
  <c r="E15" i="3"/>
  <c r="D15" i="3"/>
  <c r="C15" i="3"/>
  <c r="B15" i="3"/>
  <c r="A15" i="3"/>
  <c r="L14" i="3"/>
  <c r="K14" i="3"/>
  <c r="J14" i="3"/>
  <c r="I14" i="3"/>
  <c r="H14" i="3"/>
  <c r="G14" i="3"/>
  <c r="F14" i="3"/>
  <c r="E14" i="3"/>
  <c r="D14" i="3"/>
  <c r="C14" i="3"/>
  <c r="B14" i="3"/>
  <c r="A14" i="3"/>
  <c r="L13" i="3"/>
  <c r="K13" i="3"/>
  <c r="J13" i="3"/>
  <c r="I13" i="3"/>
  <c r="H13" i="3"/>
  <c r="G13" i="3"/>
  <c r="F13" i="3"/>
  <c r="E13" i="3"/>
  <c r="D13" i="3"/>
  <c r="C13" i="3"/>
  <c r="B13" i="3"/>
  <c r="A13" i="3"/>
  <c r="L12" i="3"/>
  <c r="K12" i="3"/>
  <c r="J12" i="3"/>
  <c r="I12" i="3"/>
  <c r="H12" i="3"/>
  <c r="G12" i="3"/>
  <c r="F12" i="3"/>
  <c r="E12" i="3"/>
  <c r="D12" i="3"/>
  <c r="C12" i="3"/>
  <c r="B12" i="3"/>
  <c r="A12" i="3"/>
  <c r="L11" i="3"/>
  <c r="K11" i="3"/>
  <c r="J11" i="3"/>
  <c r="I11" i="3"/>
  <c r="H11" i="3"/>
  <c r="G11" i="3"/>
  <c r="F11" i="3"/>
  <c r="E11" i="3"/>
  <c r="D11" i="3"/>
  <c r="C11" i="3"/>
  <c r="B11" i="3"/>
  <c r="A11" i="3"/>
  <c r="L10" i="3"/>
  <c r="K10" i="3"/>
  <c r="J10" i="3"/>
  <c r="I10" i="3"/>
  <c r="H10" i="3"/>
  <c r="G10" i="3"/>
  <c r="F10" i="3"/>
  <c r="E10" i="3"/>
  <c r="D10" i="3"/>
  <c r="C10" i="3"/>
  <c r="B10" i="3"/>
  <c r="A10" i="3"/>
  <c r="L9" i="3"/>
  <c r="K9" i="3"/>
  <c r="J9" i="3"/>
  <c r="I9" i="3"/>
  <c r="H9" i="3"/>
  <c r="G9" i="3"/>
  <c r="F9" i="3"/>
  <c r="E9" i="3"/>
  <c r="D9" i="3"/>
  <c r="C9" i="3"/>
  <c r="B9" i="3"/>
  <c r="A9" i="3"/>
  <c r="L8" i="3"/>
  <c r="K8" i="3"/>
  <c r="J8" i="3"/>
  <c r="I8" i="3"/>
  <c r="H8" i="3"/>
  <c r="G8" i="3"/>
  <c r="F8" i="3"/>
  <c r="E8" i="3"/>
  <c r="D8" i="3"/>
  <c r="C8" i="3"/>
  <c r="B8" i="3"/>
  <c r="A8" i="3"/>
  <c r="L7" i="3"/>
  <c r="K7" i="3"/>
  <c r="J7" i="3"/>
  <c r="I7" i="3"/>
  <c r="H7" i="3"/>
  <c r="G7" i="3"/>
  <c r="F7" i="3"/>
  <c r="E7" i="3"/>
  <c r="D7" i="3"/>
  <c r="C7" i="3"/>
  <c r="B7" i="3"/>
  <c r="A7" i="3"/>
  <c r="L6" i="3"/>
  <c r="K6" i="3"/>
  <c r="J6" i="3"/>
  <c r="I6" i="3"/>
  <c r="H6" i="3"/>
  <c r="G6" i="3"/>
  <c r="F6" i="3"/>
  <c r="E6" i="3"/>
  <c r="D6" i="3"/>
  <c r="C6" i="3"/>
  <c r="B6" i="3"/>
  <c r="A6" i="3"/>
  <c r="L5" i="3"/>
  <c r="K5" i="3"/>
  <c r="J5" i="3"/>
  <c r="I5" i="3"/>
  <c r="H5" i="3"/>
  <c r="G5" i="3"/>
  <c r="F5" i="3"/>
  <c r="E5" i="3"/>
  <c r="D5" i="3"/>
  <c r="C5" i="3"/>
  <c r="B5" i="3"/>
  <c r="A5" i="3"/>
  <c r="L4" i="3"/>
  <c r="K4" i="3"/>
  <c r="J4" i="3"/>
  <c r="I4" i="3"/>
  <c r="H4" i="3"/>
  <c r="G4" i="3"/>
  <c r="F4" i="3"/>
  <c r="E4" i="3"/>
  <c r="D4" i="3"/>
  <c r="C4" i="3"/>
  <c r="B4" i="3"/>
  <c r="A4" i="3"/>
  <c r="L3" i="3"/>
  <c r="K3" i="3"/>
  <c r="J3" i="3"/>
  <c r="I3" i="3"/>
  <c r="H3" i="3"/>
  <c r="G3" i="3"/>
  <c r="F3" i="3"/>
  <c r="E3" i="3"/>
  <c r="D3" i="3"/>
  <c r="C3" i="3"/>
  <c r="B3" i="3"/>
  <c r="A3" i="3"/>
  <c r="L2" i="3"/>
  <c r="K2" i="3"/>
  <c r="J2" i="3"/>
  <c r="I2" i="3"/>
  <c r="H2" i="3"/>
  <c r="G2" i="3"/>
  <c r="F2" i="3"/>
  <c r="E2" i="3"/>
  <c r="D2" i="3"/>
  <c r="C2" i="3"/>
  <c r="B2" i="3"/>
  <c r="A2" i="3"/>
  <c r="L27" i="2"/>
  <c r="K27" i="2"/>
  <c r="J27" i="2"/>
  <c r="I27" i="2"/>
  <c r="H27" i="2"/>
  <c r="G27" i="2"/>
  <c r="F27" i="2"/>
  <c r="E27" i="2"/>
  <c r="D27" i="2"/>
  <c r="C27" i="2"/>
  <c r="B27" i="2"/>
  <c r="A27" i="2"/>
  <c r="L26" i="2"/>
  <c r="K26" i="2"/>
  <c r="J26" i="2"/>
  <c r="I26" i="2"/>
  <c r="H26" i="2"/>
  <c r="G26" i="2"/>
  <c r="F26" i="2"/>
  <c r="E26" i="2"/>
  <c r="D26" i="2"/>
  <c r="C26" i="2"/>
  <c r="B26" i="2"/>
  <c r="A26" i="2"/>
  <c r="L25" i="2"/>
  <c r="K25" i="2"/>
  <c r="J25" i="2"/>
  <c r="I25" i="2"/>
  <c r="H25" i="2"/>
  <c r="G25" i="2"/>
  <c r="F25" i="2"/>
  <c r="E25" i="2"/>
  <c r="D25" i="2"/>
  <c r="C25" i="2"/>
  <c r="B25" i="2"/>
  <c r="A25" i="2"/>
  <c r="L24" i="2"/>
  <c r="K24" i="2"/>
  <c r="J24" i="2"/>
  <c r="I24" i="2"/>
  <c r="H24" i="2"/>
  <c r="G24" i="2"/>
  <c r="F24" i="2"/>
  <c r="E24" i="2"/>
  <c r="D24" i="2"/>
  <c r="C24" i="2"/>
  <c r="B24" i="2"/>
  <c r="A24" i="2"/>
  <c r="L23" i="2"/>
  <c r="K23" i="2"/>
  <c r="J23" i="2"/>
  <c r="I23" i="2"/>
  <c r="H23" i="2"/>
  <c r="G23" i="2"/>
  <c r="F23" i="2"/>
  <c r="E23" i="2"/>
  <c r="D23" i="2"/>
  <c r="C23" i="2"/>
  <c r="B23" i="2"/>
  <c r="A23" i="2"/>
  <c r="L22" i="2"/>
  <c r="K22" i="2"/>
  <c r="J22" i="2"/>
  <c r="I22" i="2"/>
  <c r="H22" i="2"/>
  <c r="G22" i="2"/>
  <c r="F22" i="2"/>
  <c r="E22" i="2"/>
  <c r="D22" i="2"/>
  <c r="C22" i="2"/>
  <c r="B22" i="2"/>
  <c r="A22" i="2"/>
  <c r="L21" i="2"/>
  <c r="K21" i="2"/>
  <c r="J21" i="2"/>
  <c r="I21" i="2"/>
  <c r="H21" i="2"/>
  <c r="G21" i="2"/>
  <c r="F21" i="2"/>
  <c r="E21" i="2"/>
  <c r="D21" i="2"/>
  <c r="C21" i="2"/>
  <c r="B21" i="2"/>
  <c r="A21" i="2"/>
  <c r="L20" i="2"/>
  <c r="K20" i="2"/>
  <c r="J20" i="2"/>
  <c r="I20" i="2"/>
  <c r="H20" i="2"/>
  <c r="G20" i="2"/>
  <c r="F20" i="2"/>
  <c r="E20" i="2"/>
  <c r="D20" i="2"/>
  <c r="C20" i="2"/>
  <c r="B20" i="2"/>
  <c r="A20" i="2"/>
  <c r="L19" i="2"/>
  <c r="K19" i="2"/>
  <c r="J19" i="2"/>
  <c r="I19" i="2"/>
  <c r="H19" i="2"/>
  <c r="G19" i="2"/>
  <c r="F19" i="2"/>
  <c r="E19" i="2"/>
  <c r="D19" i="2"/>
  <c r="C19" i="2"/>
  <c r="B19" i="2"/>
  <c r="A19" i="2"/>
  <c r="L18" i="2"/>
  <c r="K18" i="2"/>
  <c r="J18" i="2"/>
  <c r="I18" i="2"/>
  <c r="H18" i="2"/>
  <c r="G18" i="2"/>
  <c r="F18" i="2"/>
  <c r="E18" i="2"/>
  <c r="D18" i="2"/>
  <c r="C18" i="2"/>
  <c r="B18" i="2"/>
  <c r="A18" i="2"/>
  <c r="L17" i="2"/>
  <c r="K17" i="2"/>
  <c r="J17" i="2"/>
  <c r="I17" i="2"/>
  <c r="H17" i="2"/>
  <c r="G17" i="2"/>
  <c r="F17" i="2"/>
  <c r="E17" i="2"/>
  <c r="D17" i="2"/>
  <c r="C17" i="2"/>
  <c r="B17" i="2"/>
  <c r="A17" i="2"/>
  <c r="L16" i="2"/>
  <c r="K16" i="2"/>
  <c r="J16" i="2"/>
  <c r="I16" i="2"/>
  <c r="H16" i="2"/>
  <c r="G16" i="2"/>
  <c r="F16" i="2"/>
  <c r="E16" i="2"/>
  <c r="D16" i="2"/>
  <c r="C16" i="2"/>
  <c r="B16" i="2"/>
  <c r="A16" i="2"/>
  <c r="L15" i="2"/>
  <c r="K15" i="2"/>
  <c r="J15" i="2"/>
  <c r="I15" i="2"/>
  <c r="H15" i="2"/>
  <c r="G15" i="2"/>
  <c r="F15" i="2"/>
  <c r="E15" i="2"/>
  <c r="D15" i="2"/>
  <c r="C15" i="2"/>
  <c r="B15" i="2"/>
  <c r="A15" i="2"/>
  <c r="L14" i="2"/>
  <c r="K14" i="2"/>
  <c r="J14" i="2"/>
  <c r="I14" i="2"/>
  <c r="H14" i="2"/>
  <c r="G14" i="2"/>
  <c r="F14" i="2"/>
  <c r="E14" i="2"/>
  <c r="D14" i="2"/>
  <c r="C14" i="2"/>
  <c r="B14" i="2"/>
  <c r="A14" i="2"/>
  <c r="L13" i="2"/>
  <c r="K13" i="2"/>
  <c r="J13" i="2"/>
  <c r="I13" i="2"/>
  <c r="H13" i="2"/>
  <c r="G13" i="2"/>
  <c r="F13" i="2"/>
  <c r="E13" i="2"/>
  <c r="D13" i="2"/>
  <c r="C13" i="2"/>
  <c r="B13" i="2"/>
  <c r="A13" i="2"/>
  <c r="L12" i="2"/>
  <c r="K12" i="2"/>
  <c r="J12" i="2"/>
  <c r="I12" i="2"/>
  <c r="H12" i="2"/>
  <c r="G12" i="2"/>
  <c r="F12" i="2"/>
  <c r="E12" i="2"/>
  <c r="D12" i="2"/>
  <c r="C12" i="2"/>
  <c r="B12" i="2"/>
  <c r="A12" i="2"/>
  <c r="L11" i="2"/>
  <c r="K11" i="2"/>
  <c r="J11" i="2"/>
  <c r="I11" i="2"/>
  <c r="H11" i="2"/>
  <c r="G11" i="2"/>
  <c r="F11" i="2"/>
  <c r="E11" i="2"/>
  <c r="D11" i="2"/>
  <c r="C11" i="2"/>
  <c r="B11" i="2"/>
  <c r="A11" i="2"/>
  <c r="L10" i="2"/>
  <c r="K10" i="2"/>
  <c r="J10" i="2"/>
  <c r="I10" i="2"/>
  <c r="H10" i="2"/>
  <c r="G10" i="2"/>
  <c r="F10" i="2"/>
  <c r="E10" i="2"/>
  <c r="D10" i="2"/>
  <c r="C10" i="2"/>
  <c r="B10" i="2"/>
  <c r="A10" i="2"/>
  <c r="L9" i="2"/>
  <c r="K9" i="2"/>
  <c r="J9" i="2"/>
  <c r="I9" i="2"/>
  <c r="H9" i="2"/>
  <c r="G9" i="2"/>
  <c r="F9" i="2"/>
  <c r="E9" i="2"/>
  <c r="D9" i="2"/>
  <c r="C9" i="2"/>
  <c r="B9" i="2"/>
  <c r="A9" i="2"/>
  <c r="L8" i="2"/>
  <c r="K8" i="2"/>
  <c r="J8" i="2"/>
  <c r="I8" i="2"/>
  <c r="H8" i="2"/>
  <c r="G8" i="2"/>
  <c r="F8" i="2"/>
  <c r="E8" i="2"/>
  <c r="D8" i="2"/>
  <c r="C8" i="2"/>
  <c r="B8" i="2"/>
  <c r="A8" i="2"/>
  <c r="L7" i="2"/>
  <c r="K7" i="2"/>
  <c r="J7" i="2"/>
  <c r="I7" i="2"/>
  <c r="H7" i="2"/>
  <c r="G7" i="2"/>
  <c r="F7" i="2"/>
  <c r="E7" i="2"/>
  <c r="D7" i="2"/>
  <c r="C7" i="2"/>
  <c r="B7" i="2"/>
  <c r="A7" i="2"/>
  <c r="L6" i="2"/>
  <c r="K6" i="2"/>
  <c r="J6" i="2"/>
  <c r="I6" i="2"/>
  <c r="H6" i="2"/>
  <c r="G6" i="2"/>
  <c r="F6" i="2"/>
  <c r="E6" i="2"/>
  <c r="D6" i="2"/>
  <c r="C6" i="2"/>
  <c r="B6" i="2"/>
  <c r="A6" i="2"/>
  <c r="L5" i="2"/>
  <c r="K5" i="2"/>
  <c r="J5" i="2"/>
  <c r="I5" i="2"/>
  <c r="H5" i="2"/>
  <c r="G5" i="2"/>
  <c r="F5" i="2"/>
  <c r="E5" i="2"/>
  <c r="D5" i="2"/>
  <c r="C5" i="2"/>
  <c r="B5" i="2"/>
  <c r="A5" i="2"/>
  <c r="L4" i="2"/>
  <c r="K4" i="2"/>
  <c r="J4" i="2"/>
  <c r="I4" i="2"/>
  <c r="H4" i="2"/>
  <c r="G4" i="2"/>
  <c r="F4" i="2"/>
  <c r="E4" i="2"/>
  <c r="D4" i="2"/>
  <c r="C4" i="2"/>
  <c r="B4" i="2"/>
  <c r="A4" i="2"/>
  <c r="L3" i="2"/>
  <c r="K3" i="2"/>
  <c r="J3" i="2"/>
  <c r="I3" i="2"/>
  <c r="H3" i="2"/>
  <c r="G3" i="2"/>
  <c r="F3" i="2"/>
  <c r="E3" i="2"/>
  <c r="D3" i="2"/>
  <c r="C3" i="2"/>
  <c r="B3" i="2"/>
  <c r="A3" i="2"/>
  <c r="L2" i="2"/>
  <c r="K2" i="2"/>
  <c r="J2" i="2"/>
  <c r="I2" i="2"/>
  <c r="H2" i="2"/>
  <c r="G2" i="2"/>
  <c r="F2" i="2"/>
  <c r="E2" i="2"/>
  <c r="D2" i="2"/>
  <c r="C2" i="2"/>
  <c r="B2" i="2"/>
  <c r="A2" i="2"/>
  <c r="L25" i="21" l="1"/>
  <c r="L25" i="20"/>
  <c r="L17" i="21"/>
  <c r="L17" i="20"/>
  <c r="L9" i="21"/>
  <c r="L9" i="20"/>
  <c r="J11" i="21"/>
  <c r="J4" i="21"/>
  <c r="H19" i="21"/>
  <c r="H15" i="21"/>
  <c r="H13" i="21"/>
  <c r="H11" i="21"/>
  <c r="H9" i="21"/>
  <c r="H3" i="21"/>
  <c r="F27" i="21"/>
  <c r="F27" i="20"/>
  <c r="F26" i="21"/>
  <c r="F26" i="20"/>
  <c r="F25" i="21"/>
  <c r="F24" i="21"/>
  <c r="F23" i="21"/>
  <c r="F22" i="21"/>
  <c r="F21" i="20"/>
  <c r="F20" i="20"/>
  <c r="F19" i="21"/>
  <c r="F18" i="21"/>
  <c r="F17" i="20"/>
  <c r="F16" i="21"/>
  <c r="F16" i="20"/>
  <c r="F12" i="21"/>
  <c r="F11" i="21"/>
  <c r="F11" i="20"/>
  <c r="F10" i="20"/>
  <c r="F9" i="21"/>
  <c r="F8" i="21"/>
  <c r="F7" i="20"/>
  <c r="F6" i="20"/>
  <c r="F5" i="21"/>
  <c r="F4" i="21"/>
  <c r="F3" i="21"/>
  <c r="F3" i="20"/>
  <c r="F2" i="21"/>
  <c r="D27" i="21"/>
  <c r="D26" i="21"/>
  <c r="D26" i="20"/>
  <c r="D22" i="21"/>
  <c r="D22" i="20"/>
  <c r="D20" i="20"/>
  <c r="D19" i="21"/>
  <c r="D18" i="21"/>
  <c r="D17" i="21"/>
  <c r="D16" i="21"/>
  <c r="D16" i="20"/>
  <c r="D13" i="21"/>
  <c r="D12" i="21"/>
  <c r="D12" i="20"/>
  <c r="D11" i="21"/>
  <c r="D10" i="21"/>
  <c r="D10" i="20"/>
  <c r="D6" i="21"/>
  <c r="D6" i="20"/>
  <c r="D5" i="20"/>
  <c r="D4" i="21"/>
  <c r="D4" i="20"/>
  <c r="D3" i="21"/>
  <c r="D2" i="21"/>
  <c r="D2" i="20"/>
  <c r="B26" i="21"/>
  <c r="B26" i="20"/>
  <c r="C26" i="20" s="1"/>
  <c r="B24" i="21"/>
  <c r="B24" i="20"/>
  <c r="B22" i="21"/>
  <c r="B22" i="20"/>
  <c r="B20" i="21"/>
  <c r="B20" i="20"/>
  <c r="B18" i="21"/>
  <c r="B18" i="20"/>
  <c r="B16" i="21"/>
  <c r="B16" i="20"/>
  <c r="C16" i="20" s="1"/>
  <c r="B14" i="21"/>
  <c r="B14" i="20"/>
  <c r="B12" i="21"/>
  <c r="B12" i="20"/>
  <c r="B10" i="21"/>
  <c r="B10" i="20"/>
  <c r="B8" i="21"/>
  <c r="B8" i="20"/>
  <c r="B6" i="21"/>
  <c r="B6" i="20"/>
  <c r="C6" i="20" s="1"/>
  <c r="B4" i="21"/>
  <c r="B4" i="20"/>
  <c r="B2" i="21"/>
  <c r="B2" i="20"/>
  <c r="B3" i="21"/>
  <c r="C3" i="21"/>
  <c r="E3" i="21"/>
  <c r="G3" i="21"/>
  <c r="I3" i="21"/>
  <c r="J3" i="21"/>
  <c r="K3" i="21"/>
  <c r="L3" i="21"/>
  <c r="M3" i="21"/>
  <c r="N3" i="21"/>
  <c r="O3" i="21"/>
  <c r="P3" i="21"/>
  <c r="C4" i="21"/>
  <c r="E4" i="21"/>
  <c r="G4" i="21"/>
  <c r="H4" i="21"/>
  <c r="I4" i="21"/>
  <c r="K4" i="21"/>
  <c r="L4" i="21"/>
  <c r="M4" i="21"/>
  <c r="N4" i="21"/>
  <c r="O4" i="21"/>
  <c r="P4" i="21"/>
  <c r="B5" i="21"/>
  <c r="C5" i="21"/>
  <c r="D5" i="21"/>
  <c r="E5" i="21"/>
  <c r="G5" i="21"/>
  <c r="H5" i="21"/>
  <c r="I5" i="21"/>
  <c r="J5" i="21"/>
  <c r="K5" i="21"/>
  <c r="L5" i="21"/>
  <c r="M5" i="21"/>
  <c r="N5" i="21"/>
  <c r="O5" i="21"/>
  <c r="P5" i="21"/>
  <c r="C6" i="21"/>
  <c r="E6" i="21"/>
  <c r="F6" i="21"/>
  <c r="G6" i="21"/>
  <c r="H6" i="21"/>
  <c r="I6" i="21"/>
  <c r="J6" i="21"/>
  <c r="K6" i="21"/>
  <c r="L6" i="21"/>
  <c r="M6" i="21"/>
  <c r="N6" i="21"/>
  <c r="O6" i="21"/>
  <c r="P6" i="21"/>
  <c r="B7" i="21"/>
  <c r="C7" i="21"/>
  <c r="D7" i="21"/>
  <c r="E7" i="21"/>
  <c r="F7" i="21"/>
  <c r="G7" i="21"/>
  <c r="H7" i="21"/>
  <c r="I7" i="21"/>
  <c r="J7" i="21"/>
  <c r="K7" i="21"/>
  <c r="L7" i="21"/>
  <c r="M7" i="21"/>
  <c r="N7" i="21"/>
  <c r="O7" i="21"/>
  <c r="P7" i="21"/>
  <c r="C8" i="21"/>
  <c r="D8" i="21"/>
  <c r="E8" i="21"/>
  <c r="G8" i="21"/>
  <c r="H8" i="21"/>
  <c r="I8" i="21"/>
  <c r="J8" i="21"/>
  <c r="K8" i="21"/>
  <c r="L8" i="21"/>
  <c r="M8" i="21"/>
  <c r="N8" i="21"/>
  <c r="O8" i="21"/>
  <c r="P8" i="21"/>
  <c r="B9" i="21"/>
  <c r="C9" i="21"/>
  <c r="D9" i="21"/>
  <c r="E9" i="21"/>
  <c r="G9" i="21"/>
  <c r="I9" i="21"/>
  <c r="J9" i="21"/>
  <c r="K9" i="21"/>
  <c r="M9" i="21"/>
  <c r="N9" i="21"/>
  <c r="O9" i="21"/>
  <c r="P9" i="21"/>
  <c r="C10" i="21"/>
  <c r="E10" i="21"/>
  <c r="F10" i="21"/>
  <c r="G10" i="21"/>
  <c r="H10" i="21"/>
  <c r="I10" i="21"/>
  <c r="J10" i="21"/>
  <c r="K10" i="21"/>
  <c r="L10" i="21"/>
  <c r="M10" i="21"/>
  <c r="N10" i="21"/>
  <c r="O10" i="21"/>
  <c r="P10" i="21"/>
  <c r="B11" i="21"/>
  <c r="C11" i="21"/>
  <c r="E11" i="21"/>
  <c r="G11" i="21"/>
  <c r="I11" i="21"/>
  <c r="K11" i="21"/>
  <c r="L11" i="21"/>
  <c r="M11" i="21"/>
  <c r="N11" i="21"/>
  <c r="O11" i="21"/>
  <c r="P11" i="21"/>
  <c r="C12" i="21"/>
  <c r="E12" i="21"/>
  <c r="G12" i="21"/>
  <c r="H12" i="21"/>
  <c r="I12" i="21"/>
  <c r="J12" i="21"/>
  <c r="K12" i="21"/>
  <c r="L12" i="21"/>
  <c r="M12" i="21"/>
  <c r="N12" i="21"/>
  <c r="O12" i="21"/>
  <c r="P12" i="21"/>
  <c r="B13" i="21"/>
  <c r="C13" i="21"/>
  <c r="E13" i="21"/>
  <c r="F13" i="21"/>
  <c r="G13" i="21"/>
  <c r="I13" i="21"/>
  <c r="J13" i="21"/>
  <c r="K13" i="21"/>
  <c r="L13" i="21"/>
  <c r="M13" i="21"/>
  <c r="N13" i="21"/>
  <c r="O13" i="21"/>
  <c r="P13" i="21"/>
  <c r="C14" i="21"/>
  <c r="D14" i="21"/>
  <c r="E14" i="21"/>
  <c r="F14" i="21"/>
  <c r="G14" i="21"/>
  <c r="H14" i="21"/>
  <c r="I14" i="21"/>
  <c r="J14" i="21"/>
  <c r="K14" i="21"/>
  <c r="L14" i="21"/>
  <c r="M14" i="21"/>
  <c r="N14" i="21"/>
  <c r="O14" i="21"/>
  <c r="P14" i="21"/>
  <c r="B15" i="21"/>
  <c r="C15" i="21"/>
  <c r="D15" i="21"/>
  <c r="E15" i="21"/>
  <c r="F15" i="21"/>
  <c r="G15" i="21"/>
  <c r="I15" i="21"/>
  <c r="J15" i="21"/>
  <c r="K15" i="21"/>
  <c r="L15" i="21"/>
  <c r="M15" i="21"/>
  <c r="N15" i="21"/>
  <c r="O15" i="21"/>
  <c r="P15" i="21"/>
  <c r="C16" i="21"/>
  <c r="E16" i="21"/>
  <c r="G16" i="21"/>
  <c r="H16" i="21"/>
  <c r="I16" i="21"/>
  <c r="J16" i="21"/>
  <c r="K16" i="21"/>
  <c r="L16" i="21"/>
  <c r="M16" i="21"/>
  <c r="N16" i="21"/>
  <c r="O16" i="21"/>
  <c r="P16" i="21"/>
  <c r="B17" i="21"/>
  <c r="C17" i="21"/>
  <c r="E17" i="21"/>
  <c r="F17" i="21"/>
  <c r="G17" i="21"/>
  <c r="H17" i="21"/>
  <c r="I17" i="21"/>
  <c r="J17" i="21"/>
  <c r="K17" i="21"/>
  <c r="M17" i="21"/>
  <c r="N17" i="21"/>
  <c r="O17" i="21"/>
  <c r="P17" i="21"/>
  <c r="C18" i="21"/>
  <c r="E18" i="21"/>
  <c r="G18" i="21"/>
  <c r="H18" i="21"/>
  <c r="I18" i="21"/>
  <c r="J18" i="21"/>
  <c r="K18" i="21"/>
  <c r="L18" i="21"/>
  <c r="M18" i="21"/>
  <c r="N18" i="21"/>
  <c r="O18" i="21"/>
  <c r="P18" i="21"/>
  <c r="B19" i="21"/>
  <c r="C19" i="21"/>
  <c r="E19" i="21"/>
  <c r="G19" i="21"/>
  <c r="I19" i="21"/>
  <c r="J19" i="21"/>
  <c r="K19" i="21"/>
  <c r="L19" i="21"/>
  <c r="M19" i="21"/>
  <c r="N19" i="21"/>
  <c r="O19" i="21"/>
  <c r="P19" i="21"/>
  <c r="C20" i="21"/>
  <c r="D20" i="21"/>
  <c r="E20" i="21"/>
  <c r="F20" i="21"/>
  <c r="G20" i="21"/>
  <c r="H20" i="21"/>
  <c r="I20" i="21"/>
  <c r="J20" i="21"/>
  <c r="K20" i="21"/>
  <c r="L20" i="21"/>
  <c r="M20" i="21"/>
  <c r="N20" i="21"/>
  <c r="O20" i="21"/>
  <c r="P20" i="21"/>
  <c r="B21" i="21"/>
  <c r="C21" i="21"/>
  <c r="D21" i="21"/>
  <c r="E21" i="21"/>
  <c r="F21" i="21"/>
  <c r="G21" i="21"/>
  <c r="H21" i="21"/>
  <c r="I21" i="21"/>
  <c r="J21" i="21"/>
  <c r="K21" i="21"/>
  <c r="L21" i="21"/>
  <c r="M21" i="21"/>
  <c r="N21" i="21"/>
  <c r="O21" i="21"/>
  <c r="P21" i="21"/>
  <c r="C22" i="21"/>
  <c r="E22" i="21"/>
  <c r="G22" i="21"/>
  <c r="H22" i="21"/>
  <c r="I22" i="21"/>
  <c r="J22" i="21"/>
  <c r="K22" i="21"/>
  <c r="L22" i="21"/>
  <c r="M22" i="21"/>
  <c r="N22" i="21"/>
  <c r="O22" i="21"/>
  <c r="P22" i="21"/>
  <c r="B23" i="21"/>
  <c r="C23" i="21"/>
  <c r="D23" i="21"/>
  <c r="E23" i="21"/>
  <c r="G23" i="21"/>
  <c r="H23" i="21"/>
  <c r="I23" i="21"/>
  <c r="J23" i="21"/>
  <c r="K23" i="21"/>
  <c r="L23" i="21"/>
  <c r="M23" i="21"/>
  <c r="N23" i="21"/>
  <c r="O23" i="21"/>
  <c r="P23" i="21"/>
  <c r="C24" i="21"/>
  <c r="D24" i="21"/>
  <c r="E24" i="21"/>
  <c r="G24" i="21"/>
  <c r="H24" i="21"/>
  <c r="I24" i="21"/>
  <c r="J24" i="21"/>
  <c r="K24" i="21"/>
  <c r="L24" i="21"/>
  <c r="M24" i="21"/>
  <c r="N24" i="21"/>
  <c r="O24" i="21"/>
  <c r="P24" i="21"/>
  <c r="B25" i="21"/>
  <c r="C25" i="21"/>
  <c r="D25" i="21"/>
  <c r="E25" i="21"/>
  <c r="G25" i="21"/>
  <c r="H25" i="21"/>
  <c r="I25" i="21"/>
  <c r="J25" i="21"/>
  <c r="K25" i="21"/>
  <c r="M25" i="21"/>
  <c r="N25" i="21"/>
  <c r="O25" i="21"/>
  <c r="P25" i="21"/>
  <c r="C26" i="21"/>
  <c r="E26" i="21"/>
  <c r="G26" i="21"/>
  <c r="H26" i="21"/>
  <c r="I26" i="21"/>
  <c r="J26" i="21"/>
  <c r="K26" i="21"/>
  <c r="L26" i="21"/>
  <c r="M26" i="21"/>
  <c r="N26" i="21"/>
  <c r="O26" i="21"/>
  <c r="P26" i="21"/>
  <c r="B27" i="21"/>
  <c r="C27" i="21"/>
  <c r="E27" i="21"/>
  <c r="G27" i="21"/>
  <c r="H27" i="21"/>
  <c r="I27" i="21"/>
  <c r="J27" i="21"/>
  <c r="K27" i="21"/>
  <c r="L27" i="21"/>
  <c r="M27" i="21"/>
  <c r="N27" i="21"/>
  <c r="O27" i="21"/>
  <c r="P27" i="21"/>
  <c r="P2" i="21"/>
  <c r="O2" i="21"/>
  <c r="N2" i="21"/>
  <c r="M2" i="21"/>
  <c r="L2" i="21"/>
  <c r="K2" i="21"/>
  <c r="J2" i="21"/>
  <c r="I2" i="21"/>
  <c r="H2" i="21"/>
  <c r="G2" i="21"/>
  <c r="E2" i="21"/>
  <c r="C2" i="21"/>
  <c r="A27" i="21"/>
  <c r="A26" i="21"/>
  <c r="A25" i="21"/>
  <c r="A24" i="21"/>
  <c r="A23" i="21"/>
  <c r="A22" i="21"/>
  <c r="A21" i="21"/>
  <c r="A20" i="21"/>
  <c r="A19" i="21"/>
  <c r="A18" i="21"/>
  <c r="A17" i="21"/>
  <c r="A16" i="21"/>
  <c r="A15" i="21"/>
  <c r="A14" i="21"/>
  <c r="A13" i="21"/>
  <c r="A12" i="21"/>
  <c r="A11" i="21"/>
  <c r="A10" i="21"/>
  <c r="A9" i="21"/>
  <c r="A8" i="21"/>
  <c r="A7" i="21"/>
  <c r="A6" i="21"/>
  <c r="A5" i="21"/>
  <c r="A4" i="21"/>
  <c r="A3" i="21"/>
  <c r="A2" i="21"/>
  <c r="B3" i="20"/>
  <c r="C3" i="20" s="1"/>
  <c r="D3" i="20"/>
  <c r="E3" i="20"/>
  <c r="G3" i="20"/>
  <c r="H3" i="20"/>
  <c r="I3" i="20"/>
  <c r="J3" i="20"/>
  <c r="K3" i="20"/>
  <c r="L3" i="20"/>
  <c r="M3" i="20"/>
  <c r="N3" i="20"/>
  <c r="O3" i="20"/>
  <c r="P3" i="20"/>
  <c r="E4" i="20"/>
  <c r="F4" i="20"/>
  <c r="G4" i="20"/>
  <c r="H4" i="20"/>
  <c r="I4" i="20"/>
  <c r="J4" i="20"/>
  <c r="K4" i="20"/>
  <c r="L4" i="20"/>
  <c r="M4" i="20"/>
  <c r="N4" i="20"/>
  <c r="O4" i="20"/>
  <c r="P4" i="20"/>
  <c r="B5" i="20"/>
  <c r="E5" i="20"/>
  <c r="F5" i="20"/>
  <c r="G5" i="20"/>
  <c r="H5" i="20"/>
  <c r="I5" i="20"/>
  <c r="J5" i="20"/>
  <c r="K5" i="20"/>
  <c r="L5" i="20"/>
  <c r="M5" i="20"/>
  <c r="N5" i="20"/>
  <c r="O5" i="20"/>
  <c r="P5" i="20"/>
  <c r="E6" i="20"/>
  <c r="G6" i="20"/>
  <c r="H6" i="20"/>
  <c r="I6" i="20"/>
  <c r="J6" i="20"/>
  <c r="K6" i="20"/>
  <c r="L6" i="20"/>
  <c r="M6" i="20"/>
  <c r="N6" i="20"/>
  <c r="O6" i="20"/>
  <c r="P6" i="20"/>
  <c r="B7" i="20"/>
  <c r="D7" i="20"/>
  <c r="E7" i="20"/>
  <c r="G7" i="20"/>
  <c r="H7" i="20"/>
  <c r="I7" i="20"/>
  <c r="J7" i="20"/>
  <c r="K7" i="20"/>
  <c r="L7" i="20"/>
  <c r="M7" i="20"/>
  <c r="N7" i="20"/>
  <c r="O7" i="20"/>
  <c r="P7" i="20"/>
  <c r="D8" i="20"/>
  <c r="E8" i="20"/>
  <c r="F8" i="20"/>
  <c r="G8" i="20"/>
  <c r="H8" i="20"/>
  <c r="I8" i="20"/>
  <c r="J8" i="20"/>
  <c r="K8" i="20"/>
  <c r="L8" i="20"/>
  <c r="M8" i="20"/>
  <c r="N8" i="20"/>
  <c r="O8" i="20"/>
  <c r="P8" i="20"/>
  <c r="B9" i="20"/>
  <c r="D9" i="20"/>
  <c r="E9" i="20"/>
  <c r="F9" i="20"/>
  <c r="G9" i="20"/>
  <c r="H9" i="20"/>
  <c r="I9" i="20"/>
  <c r="J9" i="20"/>
  <c r="K9" i="20"/>
  <c r="M9" i="20"/>
  <c r="N9" i="20"/>
  <c r="O9" i="20"/>
  <c r="P9" i="20"/>
  <c r="E10" i="20"/>
  <c r="G10" i="20"/>
  <c r="H10" i="20"/>
  <c r="I10" i="20"/>
  <c r="J10" i="20"/>
  <c r="K10" i="20"/>
  <c r="L10" i="20"/>
  <c r="M10" i="20"/>
  <c r="N10" i="20"/>
  <c r="O10" i="20"/>
  <c r="P10" i="20"/>
  <c r="B11" i="20"/>
  <c r="C11" i="20" s="1"/>
  <c r="D11" i="20"/>
  <c r="E11" i="20"/>
  <c r="G11" i="20"/>
  <c r="H11" i="20"/>
  <c r="I11" i="20"/>
  <c r="J11" i="20"/>
  <c r="K11" i="20"/>
  <c r="L11" i="20"/>
  <c r="M11" i="20"/>
  <c r="N11" i="20"/>
  <c r="O11" i="20"/>
  <c r="P11" i="20"/>
  <c r="E12" i="20"/>
  <c r="F12" i="20"/>
  <c r="G12" i="20"/>
  <c r="H12" i="20"/>
  <c r="I12" i="20"/>
  <c r="J12" i="20"/>
  <c r="K12" i="20"/>
  <c r="L12" i="20"/>
  <c r="M12" i="20"/>
  <c r="N12" i="20"/>
  <c r="O12" i="20"/>
  <c r="P12" i="20"/>
  <c r="B13" i="20"/>
  <c r="D13" i="20"/>
  <c r="E13" i="20"/>
  <c r="F13" i="20"/>
  <c r="G13" i="20"/>
  <c r="H13" i="20"/>
  <c r="I13" i="20"/>
  <c r="J13" i="20"/>
  <c r="K13" i="20"/>
  <c r="L13" i="20"/>
  <c r="M13" i="20"/>
  <c r="N13" i="20"/>
  <c r="O13" i="20"/>
  <c r="P13" i="20"/>
  <c r="D14" i="20"/>
  <c r="E14" i="20"/>
  <c r="F14" i="20"/>
  <c r="G14" i="20"/>
  <c r="H14" i="20"/>
  <c r="I14" i="20"/>
  <c r="J14" i="20"/>
  <c r="K14" i="20"/>
  <c r="L14" i="20"/>
  <c r="M14" i="20"/>
  <c r="N14" i="20"/>
  <c r="O14" i="20"/>
  <c r="P14" i="20"/>
  <c r="B15" i="20"/>
  <c r="C15" i="20" s="1"/>
  <c r="D15" i="20"/>
  <c r="E15" i="20"/>
  <c r="F15" i="20"/>
  <c r="G15" i="20"/>
  <c r="H15" i="20"/>
  <c r="I15" i="20"/>
  <c r="J15" i="20"/>
  <c r="K15" i="20"/>
  <c r="L15" i="20"/>
  <c r="M15" i="20"/>
  <c r="N15" i="20"/>
  <c r="O15" i="20"/>
  <c r="P15" i="20"/>
  <c r="E16" i="20"/>
  <c r="G16" i="20"/>
  <c r="H16" i="20"/>
  <c r="I16" i="20"/>
  <c r="J16" i="20"/>
  <c r="K16" i="20"/>
  <c r="L16" i="20"/>
  <c r="M16" i="20"/>
  <c r="N16" i="20"/>
  <c r="O16" i="20"/>
  <c r="P16" i="20"/>
  <c r="B17" i="20"/>
  <c r="D17" i="20"/>
  <c r="E17" i="20"/>
  <c r="G17" i="20"/>
  <c r="H17" i="20"/>
  <c r="I17" i="20"/>
  <c r="J17" i="20"/>
  <c r="K17" i="20"/>
  <c r="M17" i="20"/>
  <c r="N17" i="20"/>
  <c r="O17" i="20"/>
  <c r="P17" i="20"/>
  <c r="D18" i="20"/>
  <c r="E18" i="20"/>
  <c r="F18" i="20"/>
  <c r="G18" i="20"/>
  <c r="H18" i="20"/>
  <c r="I18" i="20"/>
  <c r="J18" i="20"/>
  <c r="K18" i="20"/>
  <c r="L18" i="20"/>
  <c r="M18" i="20"/>
  <c r="N18" i="20"/>
  <c r="O18" i="20"/>
  <c r="P18" i="20"/>
  <c r="B19" i="20"/>
  <c r="D19" i="20"/>
  <c r="E19" i="20"/>
  <c r="F19" i="20"/>
  <c r="G19" i="20"/>
  <c r="H19" i="20"/>
  <c r="I19" i="20"/>
  <c r="J19" i="20"/>
  <c r="K19" i="20"/>
  <c r="L19" i="20"/>
  <c r="M19" i="20"/>
  <c r="N19" i="20"/>
  <c r="O19" i="20"/>
  <c r="P19" i="20"/>
  <c r="E20" i="20"/>
  <c r="G20" i="20"/>
  <c r="H20" i="20"/>
  <c r="I20" i="20"/>
  <c r="J20" i="20"/>
  <c r="K20" i="20"/>
  <c r="L20" i="20"/>
  <c r="M20" i="20"/>
  <c r="N20" i="20"/>
  <c r="O20" i="20"/>
  <c r="P20" i="20"/>
  <c r="B21" i="20"/>
  <c r="C21" i="20" s="1"/>
  <c r="D21" i="20"/>
  <c r="E21" i="20"/>
  <c r="G21" i="20"/>
  <c r="H21" i="20"/>
  <c r="I21" i="20"/>
  <c r="J21" i="20"/>
  <c r="K21" i="20"/>
  <c r="L21" i="20"/>
  <c r="M21" i="20"/>
  <c r="N21" i="20"/>
  <c r="O21" i="20"/>
  <c r="P21" i="20"/>
  <c r="E22" i="20"/>
  <c r="F22" i="20"/>
  <c r="G22" i="20"/>
  <c r="H22" i="20"/>
  <c r="I22" i="20"/>
  <c r="J22" i="20"/>
  <c r="K22" i="20"/>
  <c r="L22" i="20"/>
  <c r="M22" i="20"/>
  <c r="N22" i="20"/>
  <c r="O22" i="20"/>
  <c r="P22" i="20"/>
  <c r="B23" i="20"/>
  <c r="D23" i="20"/>
  <c r="E23" i="20"/>
  <c r="F23" i="20"/>
  <c r="G23" i="20"/>
  <c r="H23" i="20"/>
  <c r="I23" i="20"/>
  <c r="J23" i="20"/>
  <c r="K23" i="20"/>
  <c r="L23" i="20"/>
  <c r="M23" i="20"/>
  <c r="N23" i="20"/>
  <c r="O23" i="20"/>
  <c r="P23" i="20"/>
  <c r="D24" i="20"/>
  <c r="E24" i="20"/>
  <c r="F24" i="20"/>
  <c r="G24" i="20"/>
  <c r="H24" i="20"/>
  <c r="I24" i="20"/>
  <c r="J24" i="20"/>
  <c r="K24" i="20"/>
  <c r="L24" i="20"/>
  <c r="M24" i="20"/>
  <c r="N24" i="20"/>
  <c r="O24" i="20"/>
  <c r="P24" i="20"/>
  <c r="B25" i="20"/>
  <c r="D25" i="20"/>
  <c r="E25" i="20"/>
  <c r="F25" i="20"/>
  <c r="G25" i="20"/>
  <c r="H25" i="20"/>
  <c r="I25" i="20"/>
  <c r="J25" i="20"/>
  <c r="K25" i="20"/>
  <c r="M25" i="20"/>
  <c r="N25" i="20"/>
  <c r="O25" i="20"/>
  <c r="P25" i="20"/>
  <c r="E26" i="20"/>
  <c r="G26" i="20"/>
  <c r="H26" i="20"/>
  <c r="I26" i="20"/>
  <c r="J26" i="20"/>
  <c r="K26" i="20"/>
  <c r="L26" i="20"/>
  <c r="M26" i="20"/>
  <c r="N26" i="20"/>
  <c r="O26" i="20"/>
  <c r="P26" i="20"/>
  <c r="B27" i="20"/>
  <c r="D27" i="20"/>
  <c r="E27" i="20"/>
  <c r="G27" i="20"/>
  <c r="H27" i="20"/>
  <c r="I27" i="20"/>
  <c r="J27" i="20"/>
  <c r="K27" i="20"/>
  <c r="L27" i="20"/>
  <c r="M27" i="20"/>
  <c r="N27" i="20"/>
  <c r="O27" i="20"/>
  <c r="P27" i="20"/>
  <c r="P2" i="20"/>
  <c r="O2" i="20"/>
  <c r="N2" i="20"/>
  <c r="M2" i="20"/>
  <c r="L2" i="20"/>
  <c r="K2" i="20"/>
  <c r="J2" i="20"/>
  <c r="I2" i="20"/>
  <c r="H2" i="20"/>
  <c r="G2" i="20"/>
  <c r="F2" i="20"/>
  <c r="E2" i="20"/>
  <c r="A27" i="20"/>
  <c r="A26" i="20"/>
  <c r="A25" i="20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11" i="20"/>
  <c r="A10" i="20"/>
  <c r="A9" i="20"/>
  <c r="A8" i="20"/>
  <c r="A7" i="20"/>
  <c r="A6" i="20"/>
  <c r="A5" i="20"/>
  <c r="A4" i="20"/>
  <c r="A3" i="20"/>
  <c r="A2" i="20"/>
  <c r="C27" i="20" l="1"/>
  <c r="C13" i="20"/>
  <c r="C5" i="20"/>
  <c r="C4" i="20"/>
  <c r="C12" i="20"/>
  <c r="C20" i="20"/>
  <c r="C22" i="20"/>
  <c r="C25" i="20"/>
  <c r="C19" i="20"/>
  <c r="C9" i="20"/>
  <c r="C14" i="20"/>
  <c r="C23" i="20"/>
  <c r="C8" i="20"/>
  <c r="C24" i="20"/>
  <c r="C17" i="20"/>
  <c r="C7" i="20"/>
  <c r="C2" i="20"/>
  <c r="C10" i="20"/>
  <c r="C18" i="20"/>
  <c r="B3" i="19"/>
  <c r="C3" i="19" s="1"/>
  <c r="D3" i="19"/>
  <c r="E3" i="19"/>
  <c r="F3" i="19"/>
  <c r="G3" i="19"/>
  <c r="H3" i="19"/>
  <c r="I3" i="19"/>
  <c r="J3" i="19"/>
  <c r="K3" i="19"/>
  <c r="L3" i="19"/>
  <c r="M3" i="19"/>
  <c r="N3" i="19"/>
  <c r="O3" i="19"/>
  <c r="P3" i="19"/>
  <c r="B4" i="19"/>
  <c r="D4" i="19"/>
  <c r="E4" i="19"/>
  <c r="F4" i="19"/>
  <c r="G4" i="19"/>
  <c r="H4" i="19"/>
  <c r="I4" i="19"/>
  <c r="J4" i="19"/>
  <c r="K4" i="19"/>
  <c r="L4" i="19"/>
  <c r="M4" i="19"/>
  <c r="N4" i="19"/>
  <c r="O4" i="19"/>
  <c r="P4" i="19"/>
  <c r="B5" i="19"/>
  <c r="D5" i="19"/>
  <c r="E5" i="19"/>
  <c r="F5" i="19"/>
  <c r="G5" i="19"/>
  <c r="H5" i="19"/>
  <c r="I5" i="19"/>
  <c r="J5" i="19"/>
  <c r="K5" i="19"/>
  <c r="L5" i="19"/>
  <c r="M5" i="19"/>
  <c r="N5" i="19"/>
  <c r="O5" i="19"/>
  <c r="P5" i="19"/>
  <c r="B6" i="19"/>
  <c r="D6" i="19"/>
  <c r="E6" i="19"/>
  <c r="F6" i="19"/>
  <c r="G6" i="19"/>
  <c r="H6" i="19"/>
  <c r="I6" i="19"/>
  <c r="J6" i="19"/>
  <c r="K6" i="19"/>
  <c r="L6" i="19"/>
  <c r="M6" i="19"/>
  <c r="N6" i="19"/>
  <c r="O6" i="19"/>
  <c r="P6" i="19"/>
  <c r="B7" i="19"/>
  <c r="D7" i="19"/>
  <c r="E7" i="19"/>
  <c r="F7" i="19"/>
  <c r="G7" i="19"/>
  <c r="H7" i="19"/>
  <c r="I7" i="19"/>
  <c r="J7" i="19"/>
  <c r="K7" i="19"/>
  <c r="L7" i="19"/>
  <c r="M7" i="19"/>
  <c r="N7" i="19"/>
  <c r="O7" i="19"/>
  <c r="P7" i="19"/>
  <c r="B8" i="19"/>
  <c r="D8" i="19"/>
  <c r="E8" i="19"/>
  <c r="F8" i="19"/>
  <c r="G8" i="19"/>
  <c r="H8" i="19"/>
  <c r="I8" i="19"/>
  <c r="J8" i="19"/>
  <c r="K8" i="19"/>
  <c r="L8" i="19"/>
  <c r="M8" i="19"/>
  <c r="N8" i="19"/>
  <c r="O8" i="19"/>
  <c r="P8" i="19"/>
  <c r="B9" i="19"/>
  <c r="D9" i="19"/>
  <c r="E9" i="19"/>
  <c r="F9" i="19"/>
  <c r="G9" i="19"/>
  <c r="H9" i="19"/>
  <c r="I9" i="19"/>
  <c r="J9" i="19"/>
  <c r="K9" i="19"/>
  <c r="L9" i="19"/>
  <c r="M9" i="19"/>
  <c r="N9" i="19"/>
  <c r="O9" i="19"/>
  <c r="P9" i="19"/>
  <c r="B10" i="19"/>
  <c r="D10" i="19"/>
  <c r="E10" i="19"/>
  <c r="F10" i="19"/>
  <c r="G10" i="19"/>
  <c r="H10" i="19"/>
  <c r="I10" i="19"/>
  <c r="J10" i="19"/>
  <c r="K10" i="19"/>
  <c r="L10" i="19"/>
  <c r="M10" i="19"/>
  <c r="N10" i="19"/>
  <c r="O10" i="19"/>
  <c r="P10" i="19"/>
  <c r="B11" i="19"/>
  <c r="C11" i="19" s="1"/>
  <c r="D11" i="19"/>
  <c r="E11" i="19"/>
  <c r="F11" i="19"/>
  <c r="G11" i="19"/>
  <c r="H11" i="19"/>
  <c r="I11" i="19"/>
  <c r="J11" i="19"/>
  <c r="K11" i="19"/>
  <c r="L11" i="19"/>
  <c r="M11" i="19"/>
  <c r="N11" i="19"/>
  <c r="O11" i="19"/>
  <c r="P11" i="19"/>
  <c r="B12" i="19"/>
  <c r="D12" i="19"/>
  <c r="E12" i="19"/>
  <c r="F12" i="19"/>
  <c r="G12" i="19"/>
  <c r="H12" i="19"/>
  <c r="I12" i="19"/>
  <c r="J12" i="19"/>
  <c r="K12" i="19"/>
  <c r="L12" i="19"/>
  <c r="M12" i="19"/>
  <c r="N12" i="19"/>
  <c r="O12" i="19"/>
  <c r="P12" i="19"/>
  <c r="B13" i="19"/>
  <c r="D13" i="19"/>
  <c r="E13" i="19"/>
  <c r="F13" i="19"/>
  <c r="G13" i="19"/>
  <c r="H13" i="19"/>
  <c r="I13" i="19"/>
  <c r="J13" i="19"/>
  <c r="K13" i="19"/>
  <c r="L13" i="19"/>
  <c r="M13" i="19"/>
  <c r="N13" i="19"/>
  <c r="O13" i="19"/>
  <c r="P13" i="19"/>
  <c r="B14" i="19"/>
  <c r="D14" i="19"/>
  <c r="E14" i="19"/>
  <c r="F14" i="19"/>
  <c r="G14" i="19"/>
  <c r="H14" i="19"/>
  <c r="I14" i="19"/>
  <c r="J14" i="19"/>
  <c r="K14" i="19"/>
  <c r="L14" i="19"/>
  <c r="M14" i="19"/>
  <c r="N14" i="19"/>
  <c r="O14" i="19"/>
  <c r="P14" i="19"/>
  <c r="B15" i="19"/>
  <c r="D15" i="19"/>
  <c r="E15" i="19"/>
  <c r="F15" i="19"/>
  <c r="G15" i="19"/>
  <c r="H15" i="19"/>
  <c r="I15" i="19"/>
  <c r="J15" i="19"/>
  <c r="K15" i="19"/>
  <c r="L15" i="19"/>
  <c r="M15" i="19"/>
  <c r="N15" i="19"/>
  <c r="O15" i="19"/>
  <c r="P15" i="19"/>
  <c r="B16" i="19"/>
  <c r="D16" i="19"/>
  <c r="E16" i="19"/>
  <c r="F16" i="19"/>
  <c r="G16" i="19"/>
  <c r="H16" i="19"/>
  <c r="I16" i="19"/>
  <c r="J16" i="19"/>
  <c r="K16" i="19"/>
  <c r="L16" i="19"/>
  <c r="M16" i="19"/>
  <c r="N16" i="19"/>
  <c r="O16" i="19"/>
  <c r="P16" i="19"/>
  <c r="B17" i="19"/>
  <c r="D17" i="19"/>
  <c r="E17" i="19"/>
  <c r="F17" i="19"/>
  <c r="G17" i="19"/>
  <c r="H17" i="19"/>
  <c r="I17" i="19"/>
  <c r="J17" i="19"/>
  <c r="K17" i="19"/>
  <c r="L17" i="19"/>
  <c r="M17" i="19"/>
  <c r="N17" i="19"/>
  <c r="O17" i="19"/>
  <c r="P17" i="19"/>
  <c r="B18" i="19"/>
  <c r="D18" i="19"/>
  <c r="E18" i="19"/>
  <c r="F18" i="19"/>
  <c r="G18" i="19"/>
  <c r="H18" i="19"/>
  <c r="I18" i="19"/>
  <c r="J18" i="19"/>
  <c r="K18" i="19"/>
  <c r="L18" i="19"/>
  <c r="M18" i="19"/>
  <c r="N18" i="19"/>
  <c r="O18" i="19"/>
  <c r="P18" i="19"/>
  <c r="B19" i="19"/>
  <c r="C19" i="19" s="1"/>
  <c r="D19" i="19"/>
  <c r="E19" i="19"/>
  <c r="F19" i="19"/>
  <c r="G19" i="19"/>
  <c r="H19" i="19"/>
  <c r="I19" i="19"/>
  <c r="J19" i="19"/>
  <c r="K19" i="19"/>
  <c r="L19" i="19"/>
  <c r="M19" i="19"/>
  <c r="N19" i="19"/>
  <c r="O19" i="19"/>
  <c r="P19" i="19"/>
  <c r="B20" i="19"/>
  <c r="D20" i="19"/>
  <c r="E20" i="19"/>
  <c r="F20" i="19"/>
  <c r="G20" i="19"/>
  <c r="H20" i="19"/>
  <c r="I20" i="19"/>
  <c r="J20" i="19"/>
  <c r="K20" i="19"/>
  <c r="L20" i="19"/>
  <c r="M20" i="19"/>
  <c r="N20" i="19"/>
  <c r="O20" i="19"/>
  <c r="P20" i="19"/>
  <c r="B21" i="19"/>
  <c r="D21" i="19"/>
  <c r="E21" i="19"/>
  <c r="F21" i="19"/>
  <c r="G21" i="19"/>
  <c r="H21" i="19"/>
  <c r="I21" i="19"/>
  <c r="J21" i="19"/>
  <c r="K21" i="19"/>
  <c r="L21" i="19"/>
  <c r="M21" i="19"/>
  <c r="N21" i="19"/>
  <c r="O21" i="19"/>
  <c r="P21" i="19"/>
  <c r="B22" i="19"/>
  <c r="D22" i="19"/>
  <c r="E22" i="19"/>
  <c r="F22" i="19"/>
  <c r="G22" i="19"/>
  <c r="H22" i="19"/>
  <c r="I22" i="19"/>
  <c r="J22" i="19"/>
  <c r="K22" i="19"/>
  <c r="L22" i="19"/>
  <c r="M22" i="19"/>
  <c r="N22" i="19"/>
  <c r="O22" i="19"/>
  <c r="P22" i="19"/>
  <c r="B23" i="19"/>
  <c r="D23" i="19"/>
  <c r="E23" i="19"/>
  <c r="F23" i="19"/>
  <c r="G23" i="19"/>
  <c r="H23" i="19"/>
  <c r="I23" i="19"/>
  <c r="J23" i="19"/>
  <c r="K23" i="19"/>
  <c r="L23" i="19"/>
  <c r="M23" i="19"/>
  <c r="N23" i="19"/>
  <c r="O23" i="19"/>
  <c r="P23" i="19"/>
  <c r="B24" i="19"/>
  <c r="D24" i="19"/>
  <c r="E24" i="19"/>
  <c r="F24" i="19"/>
  <c r="G24" i="19"/>
  <c r="H24" i="19"/>
  <c r="I24" i="19"/>
  <c r="J24" i="19"/>
  <c r="K24" i="19"/>
  <c r="L24" i="19"/>
  <c r="M24" i="19"/>
  <c r="N24" i="19"/>
  <c r="O24" i="19"/>
  <c r="P24" i="19"/>
  <c r="B25" i="19"/>
  <c r="D25" i="19"/>
  <c r="E25" i="19"/>
  <c r="F25" i="19"/>
  <c r="G25" i="19"/>
  <c r="H25" i="19"/>
  <c r="I25" i="19"/>
  <c r="J25" i="19"/>
  <c r="K25" i="19"/>
  <c r="L25" i="19"/>
  <c r="M25" i="19"/>
  <c r="N25" i="19"/>
  <c r="O25" i="19"/>
  <c r="P25" i="19"/>
  <c r="B26" i="19"/>
  <c r="D26" i="19"/>
  <c r="E26" i="19"/>
  <c r="F26" i="19"/>
  <c r="G26" i="19"/>
  <c r="H26" i="19"/>
  <c r="I26" i="19"/>
  <c r="J26" i="19"/>
  <c r="K26" i="19"/>
  <c r="L26" i="19"/>
  <c r="M26" i="19"/>
  <c r="N26" i="19"/>
  <c r="O26" i="19"/>
  <c r="P26" i="19"/>
  <c r="B27" i="19"/>
  <c r="C27" i="19" s="1"/>
  <c r="D27" i="19"/>
  <c r="E27" i="19"/>
  <c r="F27" i="19"/>
  <c r="G27" i="19"/>
  <c r="H27" i="19"/>
  <c r="I27" i="19"/>
  <c r="J27" i="19"/>
  <c r="K27" i="19"/>
  <c r="L27" i="19"/>
  <c r="M27" i="19"/>
  <c r="N27" i="19"/>
  <c r="O27" i="19"/>
  <c r="P27" i="19"/>
  <c r="P2" i="19"/>
  <c r="O2" i="19"/>
  <c r="N2" i="19"/>
  <c r="L2" i="19"/>
  <c r="M2" i="19"/>
  <c r="K2" i="19"/>
  <c r="J2" i="19"/>
  <c r="I2" i="19"/>
  <c r="H2" i="19"/>
  <c r="G2" i="19"/>
  <c r="F2" i="19"/>
  <c r="E2" i="19"/>
  <c r="D2" i="19"/>
  <c r="B2" i="19"/>
  <c r="A27" i="19"/>
  <c r="A26" i="19"/>
  <c r="A25" i="19"/>
  <c r="A24" i="19"/>
  <c r="A23" i="19"/>
  <c r="A22" i="19"/>
  <c r="A21" i="19"/>
  <c r="A20" i="19"/>
  <c r="A19" i="19"/>
  <c r="A18" i="19"/>
  <c r="A17" i="19"/>
  <c r="A16" i="19"/>
  <c r="A15" i="19"/>
  <c r="A14" i="19"/>
  <c r="A13" i="19"/>
  <c r="A12" i="19"/>
  <c r="A11" i="19"/>
  <c r="A10" i="19"/>
  <c r="A9" i="19"/>
  <c r="A8" i="19"/>
  <c r="A7" i="19"/>
  <c r="A6" i="19"/>
  <c r="A5" i="19"/>
  <c r="A4" i="19"/>
  <c r="A3" i="19"/>
  <c r="A2" i="19"/>
  <c r="B3" i="18"/>
  <c r="C3" i="18" s="1"/>
  <c r="D3" i="18"/>
  <c r="E3" i="18"/>
  <c r="F3" i="18"/>
  <c r="G3" i="18"/>
  <c r="H3" i="18"/>
  <c r="I3" i="18"/>
  <c r="J3" i="18"/>
  <c r="K3" i="18"/>
  <c r="L3" i="18"/>
  <c r="M3" i="18"/>
  <c r="N3" i="18"/>
  <c r="O3" i="18"/>
  <c r="P3" i="18"/>
  <c r="B4" i="18"/>
  <c r="D4" i="18"/>
  <c r="E4" i="18"/>
  <c r="F4" i="18"/>
  <c r="G4" i="18"/>
  <c r="H4" i="18"/>
  <c r="I4" i="18"/>
  <c r="J4" i="18"/>
  <c r="K4" i="18"/>
  <c r="L4" i="18"/>
  <c r="M4" i="18"/>
  <c r="N4" i="18"/>
  <c r="O4" i="18"/>
  <c r="P4" i="18"/>
  <c r="B5" i="18"/>
  <c r="D5" i="18"/>
  <c r="E5" i="18"/>
  <c r="F5" i="18"/>
  <c r="G5" i="18"/>
  <c r="H5" i="18"/>
  <c r="I5" i="18"/>
  <c r="J5" i="18"/>
  <c r="K5" i="18"/>
  <c r="L5" i="18"/>
  <c r="M5" i="18"/>
  <c r="N5" i="18"/>
  <c r="O5" i="18"/>
  <c r="P5" i="18"/>
  <c r="B6" i="18"/>
  <c r="D6" i="18"/>
  <c r="E6" i="18"/>
  <c r="F6" i="18"/>
  <c r="G6" i="18"/>
  <c r="H6" i="18"/>
  <c r="I6" i="18"/>
  <c r="J6" i="18"/>
  <c r="K6" i="18"/>
  <c r="L6" i="18"/>
  <c r="M6" i="18"/>
  <c r="N6" i="18"/>
  <c r="O6" i="18"/>
  <c r="P6" i="18"/>
  <c r="B7" i="18"/>
  <c r="D7" i="18"/>
  <c r="E7" i="18"/>
  <c r="F7" i="18"/>
  <c r="G7" i="18"/>
  <c r="H7" i="18"/>
  <c r="I7" i="18"/>
  <c r="J7" i="18"/>
  <c r="K7" i="18"/>
  <c r="L7" i="18"/>
  <c r="M7" i="18"/>
  <c r="N7" i="18"/>
  <c r="O7" i="18"/>
  <c r="P7" i="18"/>
  <c r="B8" i="18"/>
  <c r="D8" i="18"/>
  <c r="E8" i="18"/>
  <c r="F8" i="18"/>
  <c r="G8" i="18"/>
  <c r="H8" i="18"/>
  <c r="I8" i="18"/>
  <c r="J8" i="18"/>
  <c r="K8" i="18"/>
  <c r="L8" i="18"/>
  <c r="M8" i="18"/>
  <c r="N8" i="18"/>
  <c r="O8" i="18"/>
  <c r="P8" i="18"/>
  <c r="B9" i="18"/>
  <c r="D9" i="18"/>
  <c r="E9" i="18"/>
  <c r="F9" i="18"/>
  <c r="G9" i="18"/>
  <c r="H9" i="18"/>
  <c r="I9" i="18"/>
  <c r="J9" i="18"/>
  <c r="K9" i="18"/>
  <c r="L9" i="18"/>
  <c r="M9" i="18"/>
  <c r="N9" i="18"/>
  <c r="O9" i="18"/>
  <c r="P9" i="18"/>
  <c r="B10" i="18"/>
  <c r="D10" i="18"/>
  <c r="E10" i="18"/>
  <c r="F10" i="18"/>
  <c r="G10" i="18"/>
  <c r="H10" i="18"/>
  <c r="I10" i="18"/>
  <c r="J10" i="18"/>
  <c r="K10" i="18"/>
  <c r="L10" i="18"/>
  <c r="M10" i="18"/>
  <c r="N10" i="18"/>
  <c r="O10" i="18"/>
  <c r="P10" i="18"/>
  <c r="B11" i="18"/>
  <c r="C11" i="18" s="1"/>
  <c r="D11" i="18"/>
  <c r="E11" i="18"/>
  <c r="F11" i="18"/>
  <c r="G11" i="18"/>
  <c r="H11" i="18"/>
  <c r="I11" i="18"/>
  <c r="J11" i="18"/>
  <c r="K11" i="18"/>
  <c r="L11" i="18"/>
  <c r="M11" i="18"/>
  <c r="N11" i="18"/>
  <c r="O11" i="18"/>
  <c r="P11" i="18"/>
  <c r="B12" i="18"/>
  <c r="D12" i="18"/>
  <c r="E12" i="18"/>
  <c r="F12" i="18"/>
  <c r="G12" i="18"/>
  <c r="H12" i="18"/>
  <c r="I12" i="18"/>
  <c r="J12" i="18"/>
  <c r="K12" i="18"/>
  <c r="L12" i="18"/>
  <c r="M12" i="18"/>
  <c r="N12" i="18"/>
  <c r="O12" i="18"/>
  <c r="P12" i="18"/>
  <c r="B13" i="18"/>
  <c r="D13" i="18"/>
  <c r="E13" i="18"/>
  <c r="F13" i="18"/>
  <c r="G13" i="18"/>
  <c r="H13" i="18"/>
  <c r="I13" i="18"/>
  <c r="J13" i="18"/>
  <c r="K13" i="18"/>
  <c r="L13" i="18"/>
  <c r="M13" i="18"/>
  <c r="N13" i="18"/>
  <c r="O13" i="18"/>
  <c r="P13" i="18"/>
  <c r="B14" i="18"/>
  <c r="D14" i="18"/>
  <c r="E14" i="18"/>
  <c r="F14" i="18"/>
  <c r="G14" i="18"/>
  <c r="H14" i="18"/>
  <c r="I14" i="18"/>
  <c r="J14" i="18"/>
  <c r="K14" i="18"/>
  <c r="L14" i="18"/>
  <c r="M14" i="18"/>
  <c r="N14" i="18"/>
  <c r="O14" i="18"/>
  <c r="P14" i="18"/>
  <c r="B15" i="18"/>
  <c r="D15" i="18"/>
  <c r="E15" i="18"/>
  <c r="F15" i="18"/>
  <c r="G15" i="18"/>
  <c r="H15" i="18"/>
  <c r="I15" i="18"/>
  <c r="J15" i="18"/>
  <c r="K15" i="18"/>
  <c r="L15" i="18"/>
  <c r="M15" i="18"/>
  <c r="N15" i="18"/>
  <c r="O15" i="18"/>
  <c r="P15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O16" i="18"/>
  <c r="P16" i="18"/>
  <c r="B17" i="18"/>
  <c r="D17" i="18"/>
  <c r="E17" i="18"/>
  <c r="F17" i="18"/>
  <c r="G17" i="18"/>
  <c r="H17" i="18"/>
  <c r="I17" i="18"/>
  <c r="J17" i="18"/>
  <c r="K17" i="18"/>
  <c r="L17" i="18"/>
  <c r="M17" i="18"/>
  <c r="N17" i="18"/>
  <c r="O17" i="18"/>
  <c r="P17" i="18"/>
  <c r="B18" i="18"/>
  <c r="D18" i="18"/>
  <c r="E18" i="18"/>
  <c r="F18" i="18"/>
  <c r="G18" i="18"/>
  <c r="H18" i="18"/>
  <c r="I18" i="18"/>
  <c r="J18" i="18"/>
  <c r="K18" i="18"/>
  <c r="L18" i="18"/>
  <c r="M18" i="18"/>
  <c r="N18" i="18"/>
  <c r="O18" i="18"/>
  <c r="P18" i="18"/>
  <c r="B19" i="18"/>
  <c r="C19" i="18" s="1"/>
  <c r="D19" i="18"/>
  <c r="E19" i="18"/>
  <c r="F19" i="18"/>
  <c r="G19" i="18"/>
  <c r="H19" i="18"/>
  <c r="I19" i="18"/>
  <c r="J19" i="18"/>
  <c r="K19" i="18"/>
  <c r="L19" i="18"/>
  <c r="M19" i="18"/>
  <c r="N19" i="18"/>
  <c r="O19" i="18"/>
  <c r="P19" i="18"/>
  <c r="B20" i="18"/>
  <c r="D20" i="18"/>
  <c r="E20" i="18"/>
  <c r="F20" i="18"/>
  <c r="G20" i="18"/>
  <c r="H20" i="18"/>
  <c r="I20" i="18"/>
  <c r="J20" i="18"/>
  <c r="K20" i="18"/>
  <c r="L20" i="18"/>
  <c r="M20" i="18"/>
  <c r="N20" i="18"/>
  <c r="O20" i="18"/>
  <c r="P20" i="18"/>
  <c r="B21" i="18"/>
  <c r="D21" i="18"/>
  <c r="E21" i="18"/>
  <c r="F21" i="18"/>
  <c r="G21" i="18"/>
  <c r="H21" i="18"/>
  <c r="I21" i="18"/>
  <c r="J21" i="18"/>
  <c r="K21" i="18"/>
  <c r="L21" i="18"/>
  <c r="M21" i="18"/>
  <c r="N21" i="18"/>
  <c r="O21" i="18"/>
  <c r="P21" i="18"/>
  <c r="B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P22" i="18"/>
  <c r="B23" i="18"/>
  <c r="D23" i="18"/>
  <c r="E23" i="18"/>
  <c r="F23" i="18"/>
  <c r="G23" i="18"/>
  <c r="H23" i="18"/>
  <c r="I23" i="18"/>
  <c r="J23" i="18"/>
  <c r="K23" i="18"/>
  <c r="L23" i="18"/>
  <c r="M23" i="18"/>
  <c r="N23" i="18"/>
  <c r="O23" i="18"/>
  <c r="P23" i="18"/>
  <c r="B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P24" i="18"/>
  <c r="B25" i="18"/>
  <c r="D25" i="18"/>
  <c r="E25" i="18"/>
  <c r="F25" i="18"/>
  <c r="G25" i="18"/>
  <c r="H25" i="18"/>
  <c r="I25" i="18"/>
  <c r="J25" i="18"/>
  <c r="K25" i="18"/>
  <c r="L25" i="18"/>
  <c r="M25" i="18"/>
  <c r="N25" i="18"/>
  <c r="O25" i="18"/>
  <c r="P25" i="18"/>
  <c r="B26" i="18"/>
  <c r="D26" i="18"/>
  <c r="E26" i="18"/>
  <c r="F26" i="18"/>
  <c r="G26" i="18"/>
  <c r="H26" i="18"/>
  <c r="I26" i="18"/>
  <c r="J26" i="18"/>
  <c r="K26" i="18"/>
  <c r="L26" i="18"/>
  <c r="M26" i="18"/>
  <c r="N26" i="18"/>
  <c r="O26" i="18"/>
  <c r="P26" i="18"/>
  <c r="B27" i="18"/>
  <c r="C27" i="18" s="1"/>
  <c r="D27" i="18"/>
  <c r="E27" i="18"/>
  <c r="F27" i="18"/>
  <c r="G27" i="18"/>
  <c r="H27" i="18"/>
  <c r="I27" i="18"/>
  <c r="J27" i="18"/>
  <c r="K27" i="18"/>
  <c r="L27" i="18"/>
  <c r="M27" i="18"/>
  <c r="N27" i="18"/>
  <c r="O27" i="18"/>
  <c r="P27" i="18"/>
  <c r="P2" i="18"/>
  <c r="O2" i="18"/>
  <c r="N2" i="18"/>
  <c r="M2" i="18"/>
  <c r="L2" i="18"/>
  <c r="K2" i="18"/>
  <c r="J2" i="18"/>
  <c r="I2" i="18"/>
  <c r="H2" i="18"/>
  <c r="G2" i="18"/>
  <c r="F2" i="18"/>
  <c r="E2" i="18"/>
  <c r="D2" i="18"/>
  <c r="B2" i="18"/>
  <c r="A27" i="18"/>
  <c r="A26" i="18"/>
  <c r="A25" i="18"/>
  <c r="A24" i="18"/>
  <c r="A23" i="18"/>
  <c r="A22" i="18"/>
  <c r="A21" i="18"/>
  <c r="A20" i="18"/>
  <c r="A19" i="18"/>
  <c r="A18" i="18"/>
  <c r="A17" i="18"/>
  <c r="A16" i="18"/>
  <c r="A15" i="18"/>
  <c r="A14" i="18"/>
  <c r="A13" i="18"/>
  <c r="A12" i="18"/>
  <c r="A11" i="18"/>
  <c r="A10" i="18"/>
  <c r="A9" i="18"/>
  <c r="A8" i="18"/>
  <c r="A7" i="18"/>
  <c r="A6" i="18"/>
  <c r="A5" i="18"/>
  <c r="A4" i="18"/>
  <c r="A3" i="18"/>
  <c r="A2" i="18"/>
  <c r="D3" i="1"/>
  <c r="E3" i="1"/>
  <c r="F3" i="1"/>
  <c r="G3" i="1"/>
  <c r="H3" i="1"/>
  <c r="I3" i="1"/>
  <c r="J3" i="1"/>
  <c r="K3" i="1"/>
  <c r="L3" i="1"/>
  <c r="M3" i="1"/>
  <c r="N3" i="1"/>
  <c r="O3" i="1"/>
  <c r="P3" i="1"/>
  <c r="D4" i="1"/>
  <c r="E4" i="1"/>
  <c r="F4" i="1"/>
  <c r="G4" i="1"/>
  <c r="H4" i="1"/>
  <c r="I4" i="1"/>
  <c r="J4" i="1"/>
  <c r="K4" i="1"/>
  <c r="L4" i="1"/>
  <c r="M4" i="1"/>
  <c r="N4" i="1"/>
  <c r="O4" i="1"/>
  <c r="P4" i="1"/>
  <c r="D5" i="1"/>
  <c r="E5" i="1"/>
  <c r="F5" i="1"/>
  <c r="G5" i="1"/>
  <c r="H5" i="1"/>
  <c r="I5" i="1"/>
  <c r="J5" i="1"/>
  <c r="K5" i="1"/>
  <c r="L5" i="1"/>
  <c r="M5" i="1"/>
  <c r="N5" i="1"/>
  <c r="O5" i="1"/>
  <c r="P5" i="1"/>
  <c r="D6" i="1"/>
  <c r="E6" i="1"/>
  <c r="F6" i="1"/>
  <c r="G6" i="1"/>
  <c r="H6" i="1"/>
  <c r="I6" i="1"/>
  <c r="J6" i="1"/>
  <c r="K6" i="1"/>
  <c r="L6" i="1"/>
  <c r="M6" i="1"/>
  <c r="N6" i="1"/>
  <c r="O6" i="1"/>
  <c r="P6" i="1"/>
  <c r="D7" i="1"/>
  <c r="E7" i="1"/>
  <c r="F7" i="1"/>
  <c r="G7" i="1"/>
  <c r="H7" i="1"/>
  <c r="I7" i="1"/>
  <c r="J7" i="1"/>
  <c r="K7" i="1"/>
  <c r="L7" i="1"/>
  <c r="M7" i="1"/>
  <c r="N7" i="1"/>
  <c r="O7" i="1"/>
  <c r="P7" i="1"/>
  <c r="D8" i="1"/>
  <c r="E8" i="1"/>
  <c r="F8" i="1"/>
  <c r="G8" i="1"/>
  <c r="H8" i="1"/>
  <c r="I8" i="1"/>
  <c r="J8" i="1"/>
  <c r="K8" i="1"/>
  <c r="L8" i="1"/>
  <c r="M8" i="1"/>
  <c r="N8" i="1"/>
  <c r="O8" i="1"/>
  <c r="P8" i="1"/>
  <c r="D9" i="1"/>
  <c r="E9" i="1"/>
  <c r="F9" i="1"/>
  <c r="G9" i="1"/>
  <c r="H9" i="1"/>
  <c r="I9" i="1"/>
  <c r="J9" i="1"/>
  <c r="K9" i="1"/>
  <c r="L9" i="1"/>
  <c r="M9" i="1"/>
  <c r="N9" i="1"/>
  <c r="O9" i="1"/>
  <c r="P9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P2" i="1"/>
  <c r="O2" i="1"/>
  <c r="N2" i="1"/>
  <c r="M2" i="1"/>
  <c r="L2" i="1"/>
  <c r="K2" i="1"/>
  <c r="J2" i="1"/>
  <c r="I2" i="1"/>
  <c r="H2" i="1"/>
  <c r="G2" i="1"/>
  <c r="F2" i="1"/>
  <c r="E2" i="1"/>
  <c r="D2" i="1"/>
  <c r="B2" i="1"/>
  <c r="B3" i="1"/>
  <c r="B4" i="1"/>
  <c r="C4" i="1" s="1"/>
  <c r="B5" i="1"/>
  <c r="B6" i="1"/>
  <c r="B7" i="1"/>
  <c r="B8" i="1"/>
  <c r="C8" i="1" s="1"/>
  <c r="B9" i="1"/>
  <c r="B10" i="1"/>
  <c r="B11" i="1"/>
  <c r="B12" i="1"/>
  <c r="C12" i="1" s="1"/>
  <c r="B13" i="1"/>
  <c r="B14" i="1"/>
  <c r="B15" i="1"/>
  <c r="B16" i="1"/>
  <c r="C16" i="1" s="1"/>
  <c r="B17" i="1"/>
  <c r="B18" i="1"/>
  <c r="B19" i="1"/>
  <c r="B20" i="1"/>
  <c r="C20" i="1" s="1"/>
  <c r="B21" i="1"/>
  <c r="B22" i="1"/>
  <c r="B23" i="1"/>
  <c r="B24" i="1"/>
  <c r="B25" i="1"/>
  <c r="B26" i="1"/>
  <c r="B27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" i="1"/>
  <c r="C25" i="1" l="1"/>
  <c r="C17" i="1"/>
  <c r="C9" i="1"/>
  <c r="C24" i="18"/>
  <c r="C16" i="18"/>
  <c r="C8" i="18"/>
  <c r="C24" i="19"/>
  <c r="C16" i="19"/>
  <c r="C8" i="19"/>
  <c r="C7" i="1"/>
  <c r="C24" i="1"/>
  <c r="C21" i="1"/>
  <c r="C13" i="1"/>
  <c r="C5" i="1"/>
  <c r="C11" i="1"/>
  <c r="C3" i="1"/>
  <c r="C9" i="18"/>
  <c r="C23" i="1"/>
  <c r="C15" i="1"/>
  <c r="C26" i="18"/>
  <c r="C18" i="18"/>
  <c r="C10" i="18"/>
  <c r="C26" i="19"/>
  <c r="C18" i="19"/>
  <c r="C10" i="19"/>
  <c r="C25" i="19"/>
  <c r="C22" i="1"/>
  <c r="C20" i="18"/>
  <c r="C12" i="18"/>
  <c r="C4" i="18"/>
  <c r="C20" i="19"/>
  <c r="C12" i="19"/>
  <c r="C4" i="19"/>
  <c r="C25" i="18"/>
  <c r="C21" i="18"/>
  <c r="C13" i="18"/>
  <c r="C5" i="18"/>
  <c r="C21" i="19"/>
  <c r="C13" i="19"/>
  <c r="C5" i="19"/>
  <c r="C17" i="18"/>
  <c r="C17" i="19"/>
  <c r="C9" i="19"/>
  <c r="C14" i="1"/>
  <c r="C27" i="1"/>
  <c r="C19" i="1"/>
  <c r="C2" i="18"/>
  <c r="C22" i="18"/>
  <c r="C14" i="18"/>
  <c r="C6" i="18"/>
  <c r="C2" i="19"/>
  <c r="C22" i="19"/>
  <c r="C14" i="19"/>
  <c r="C6" i="19"/>
  <c r="C6" i="1"/>
  <c r="C26" i="1"/>
  <c r="C18" i="1"/>
  <c r="C10" i="1"/>
  <c r="C2" i="1"/>
  <c r="C23" i="18"/>
  <c r="C15" i="18"/>
  <c r="C7" i="18"/>
  <c r="C23" i="19"/>
  <c r="C15" i="19"/>
  <c r="C7" i="19"/>
</calcChain>
</file>

<file path=xl/sharedStrings.xml><?xml version="1.0" encoding="utf-8"?>
<sst xmlns="http://schemas.openxmlformats.org/spreadsheetml/2006/main" count="192" uniqueCount="12">
  <si>
    <t>VCELL(apparatus 6)</t>
  </si>
  <si>
    <t>Gross energy efficiency</t>
  </si>
  <si>
    <t>Net energy efficiency</t>
  </si>
  <si>
    <t>Heat energy efficiency</t>
  </si>
  <si>
    <t>Total energy efficiency</t>
  </si>
  <si>
    <t>Gross exergy efficiency</t>
  </si>
  <si>
    <t>Net exergy efficiency</t>
  </si>
  <si>
    <t>Heat exergy efficiency</t>
  </si>
  <si>
    <t>Total exergy efficiency</t>
  </si>
  <si>
    <t>SOFC_AC_power</t>
  </si>
  <si>
    <t>SOFC_U_O</t>
  </si>
  <si>
    <t>SOFC_i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</si>
</sst>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8" fillId="0" borderId="8" xfId="0" applyFont="1" applyBorder="1" applyAlignment="1">
      <alignment horizontal="center" vertical="top"/>
    </xf>
    <xf numFmtId="0" fontId="9" fillId="0" borderId="9" xfId="0" applyFont="1" applyBorder="1" applyAlignment="1">
      <alignment horizontal="center" vertical="top"/>
    </xf>
    <xf numFmtId="0" fontId="10" fillId="0" borderId="10" xfId="0" applyFont="1" applyBorder="1" applyAlignment="1">
      <alignment horizontal="center" vertical="top"/>
    </xf>
    <xf numFmtId="0" fontId="11" fillId="0" borderId="11" xfId="0" applyFont="1" applyBorder="1" applyAlignment="1">
      <alignment horizontal="center" vertical="top"/>
    </xf>
    <xf numFmtId="0" fontId="12" fillId="0" borderId="12" xfId="0" applyFont="1" applyBorder="1" applyAlignment="1">
      <alignment horizontal="center" vertical="top"/>
    </xf>
    <xf numFmtId="0" fontId="13" fillId="0" borderId="13" xfId="0" applyFont="1" applyBorder="1" applyAlignment="1">
      <alignment horizontal="center" vertical="top"/>
    </xf>
    <xf numFmtId="0" fontId="14" fillId="0" borderId="14" xfId="0" applyFont="1" applyBorder="1" applyAlignment="1">
      <alignment horizontal="center" vertical="top"/>
    </xf>
    <xf numFmtId="2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abSelected="1" workbookViewId="0">
      <selection activeCell="S21" sqref="S21"/>
    </sheetView>
  </sheetViews>
  <sheetFormatPr defaultRowHeight="15" x14ac:dyDescent="0.25"/>
  <sheetData>
    <row r="1" spans="1:17" x14ac:dyDescent="0.25">
      <c r="B1">
        <v>0.7</v>
      </c>
      <c r="C1">
        <v>0.71</v>
      </c>
      <c r="D1">
        <v>0.72</v>
      </c>
      <c r="E1">
        <v>0.73</v>
      </c>
      <c r="F1">
        <v>0.74</v>
      </c>
      <c r="G1">
        <v>0.75</v>
      </c>
      <c r="H1">
        <v>0.76</v>
      </c>
      <c r="I1">
        <v>0.77</v>
      </c>
      <c r="J1">
        <v>0.78</v>
      </c>
      <c r="K1">
        <v>0.79</v>
      </c>
      <c r="L1">
        <v>0.8</v>
      </c>
      <c r="M1">
        <v>0.81</v>
      </c>
      <c r="N1">
        <v>0.82</v>
      </c>
      <c r="O1">
        <v>0.83</v>
      </c>
      <c r="P1">
        <v>0.84</v>
      </c>
      <c r="Q1">
        <v>0.85</v>
      </c>
    </row>
    <row r="2" spans="1:17" x14ac:dyDescent="0.25">
      <c r="A2">
        <f>'FU 0.7'!A2</f>
        <v>0.6</v>
      </c>
      <c r="B2" s="15">
        <f>'FU 0.7'!$B2</f>
        <v>32.170228710000004</v>
      </c>
      <c r="C2" s="15">
        <f>(B2+D2)/2</f>
        <v>32.629803405000004</v>
      </c>
      <c r="D2" s="15">
        <f>'FU 0.72'!$B2</f>
        <v>33.089378099999998</v>
      </c>
      <c r="E2" s="15">
        <f>'FU 0.73'!$B2</f>
        <v>33.548952800000002</v>
      </c>
      <c r="F2" s="15">
        <f>'FU 0.74'!$B2</f>
        <v>34.008527489999999</v>
      </c>
      <c r="G2" s="15">
        <f>'FU 0.75'!$B2</f>
        <v>34.468102190000003</v>
      </c>
      <c r="H2" s="15">
        <f>'FU 0.76'!$B2</f>
        <v>34.927676890000001</v>
      </c>
      <c r="I2" s="15">
        <f>'FU 0.77'!$B2</f>
        <v>35.387251579999997</v>
      </c>
      <c r="J2" s="15">
        <f>'FU 0.78'!$B2</f>
        <v>35.846826280000002</v>
      </c>
      <c r="K2" s="15">
        <f>'FU 0.79'!$B2</f>
        <v>36.306400969999999</v>
      </c>
      <c r="L2" s="15">
        <f>'FU 0.8'!$B2</f>
        <v>36.765975670000003</v>
      </c>
      <c r="M2" s="15">
        <f>'FU 0.81'!$B2</f>
        <v>37.22555036</v>
      </c>
      <c r="N2" s="15">
        <f>'FU 0.82'!$B2</f>
        <v>37.685125059999997</v>
      </c>
      <c r="O2" s="15">
        <f>'FU 0.83'!$B2</f>
        <v>38.144699760000002</v>
      </c>
      <c r="P2" s="15">
        <f>'FU 0.84'!$B2</f>
        <v>38.604274449999998</v>
      </c>
      <c r="Q2" s="15">
        <f>P2+P2-O2</f>
        <v>39.063849139999995</v>
      </c>
    </row>
    <row r="3" spans="1:17" x14ac:dyDescent="0.25">
      <c r="A3">
        <f>'FU 0.7'!A3</f>
        <v>0.61</v>
      </c>
      <c r="B3" s="15">
        <f>'FU 0.7'!$B3</f>
        <v>32.706399189999999</v>
      </c>
      <c r="C3" s="15">
        <f t="shared" ref="C3:C27" si="0">(B3+D3)/2</f>
        <v>33.173633464999995</v>
      </c>
      <c r="D3" s="15">
        <f>'FU 0.72'!$B3</f>
        <v>33.640867739999997</v>
      </c>
      <c r="E3" s="15">
        <f>'FU 0.73'!$B3</f>
        <v>34.108102010000003</v>
      </c>
      <c r="F3" s="15">
        <f>'FU 0.74'!$B3</f>
        <v>34.575336280000002</v>
      </c>
      <c r="G3" s="15">
        <f>'FU 0.75'!$B3</f>
        <v>35.042570560000001</v>
      </c>
      <c r="H3" s="15">
        <f>'FU 0.76'!$B3</f>
        <v>35.50980483</v>
      </c>
      <c r="I3" s="15">
        <f>'FU 0.77'!$B3</f>
        <v>35.97703911</v>
      </c>
      <c r="J3" s="15">
        <f>'FU 0.78'!$B3</f>
        <v>36.444273379999998</v>
      </c>
      <c r="K3" s="15">
        <f>'FU 0.79'!$B3</f>
        <v>36.911507659999998</v>
      </c>
      <c r="L3" s="15">
        <f>'FU 0.8'!$B3</f>
        <v>37.378741929999997</v>
      </c>
      <c r="M3" s="15">
        <f>'FU 0.81'!$B3</f>
        <v>37.845976200000003</v>
      </c>
      <c r="N3" s="15">
        <f>'FU 0.82'!$B3</f>
        <v>38.313210480000002</v>
      </c>
      <c r="O3" s="15">
        <f>'FU 0.83'!$B3</f>
        <v>38.780444750000001</v>
      </c>
      <c r="P3" s="15">
        <f>'FU 0.84'!$B3</f>
        <v>39.24767903</v>
      </c>
      <c r="Q3" s="15">
        <f t="shared" ref="Q3:Q27" si="1">P3+P3-O3</f>
        <v>39.71491331</v>
      </c>
    </row>
    <row r="4" spans="1:17" x14ac:dyDescent="0.25">
      <c r="A4">
        <f>'FU 0.7'!A4</f>
        <v>0.62</v>
      </c>
      <c r="B4" s="15">
        <f>'FU 0.7'!$B4</f>
        <v>33.242569670000002</v>
      </c>
      <c r="C4" s="15">
        <f t="shared" si="0"/>
        <v>33.717463520000003</v>
      </c>
      <c r="D4" s="15">
        <f>'FU 0.72'!$B4</f>
        <v>34.192357370000003</v>
      </c>
      <c r="E4" s="15">
        <f>'FU 0.73'!$B4</f>
        <v>34.667251219999997</v>
      </c>
      <c r="F4" s="15">
        <f>'FU 0.74'!$B4</f>
        <v>35.142145079999999</v>
      </c>
      <c r="G4" s="15">
        <f>'FU 0.75'!$B4</f>
        <v>35.61703893</v>
      </c>
      <c r="H4" s="15">
        <f>'FU 0.76'!$B4</f>
        <v>36.09193278</v>
      </c>
      <c r="I4" s="15">
        <f>'FU 0.77'!$B4</f>
        <v>36.566826630000001</v>
      </c>
      <c r="J4" s="15">
        <f>'FU 0.78'!$B4</f>
        <v>37.041720490000003</v>
      </c>
      <c r="K4" s="15">
        <f>'FU 0.79'!$B4</f>
        <v>37.516614339999997</v>
      </c>
      <c r="L4" s="15">
        <f>'FU 0.8'!$B4</f>
        <v>37.991508189999998</v>
      </c>
      <c r="M4" s="15">
        <f>'FU 0.81'!$B4</f>
        <v>38.466402039999998</v>
      </c>
      <c r="N4" s="15">
        <f>'FU 0.82'!$B4</f>
        <v>38.9412959</v>
      </c>
      <c r="O4" s="15">
        <f>'FU 0.83'!$B4</f>
        <v>39.416189750000001</v>
      </c>
      <c r="P4" s="15">
        <f>'FU 0.84'!$B4</f>
        <v>39.891083600000002</v>
      </c>
      <c r="Q4" s="15">
        <f t="shared" si="1"/>
        <v>40.365977450000003</v>
      </c>
    </row>
    <row r="5" spans="1:17" x14ac:dyDescent="0.25">
      <c r="A5">
        <f>'FU 0.7'!A5</f>
        <v>0.63</v>
      </c>
      <c r="B5" s="15">
        <f>'FU 0.7'!$B5</f>
        <v>33.778740149999997</v>
      </c>
      <c r="C5" s="15">
        <f t="shared" si="0"/>
        <v>34.26129358</v>
      </c>
      <c r="D5" s="15">
        <f>'FU 0.72'!$B5</f>
        <v>34.743847010000003</v>
      </c>
      <c r="E5" s="15">
        <f>'FU 0.73'!$B5</f>
        <v>35.226400439999999</v>
      </c>
      <c r="F5" s="15">
        <f>'FU 0.74'!$B5</f>
        <v>35.708953870000002</v>
      </c>
      <c r="G5" s="15">
        <f>'FU 0.75'!$B5</f>
        <v>36.191507299999998</v>
      </c>
      <c r="H5" s="15">
        <f>'FU 0.76'!$B5</f>
        <v>36.674060730000001</v>
      </c>
      <c r="I5" s="15">
        <f>'FU 0.77'!$B5</f>
        <v>37.156614159999997</v>
      </c>
      <c r="J5" s="15">
        <f>'FU 0.78'!$B5</f>
        <v>37.63916759</v>
      </c>
      <c r="K5" s="15">
        <f>'FU 0.79'!$B5</f>
        <v>38.121721020000003</v>
      </c>
      <c r="L5" s="15">
        <f>'FU 0.8'!$B5</f>
        <v>38.604274449999998</v>
      </c>
      <c r="M5" s="15">
        <f>'FU 0.81'!$B5</f>
        <v>39.086827880000001</v>
      </c>
      <c r="N5" s="15">
        <f>'FU 0.82'!$B5</f>
        <v>39.569381309999997</v>
      </c>
      <c r="O5" s="15">
        <f>'FU 0.83'!$B5</f>
        <v>40.05193474</v>
      </c>
      <c r="P5" s="15">
        <f>'FU 0.84'!$B5</f>
        <v>40.534488170000003</v>
      </c>
      <c r="Q5" s="15">
        <f t="shared" si="1"/>
        <v>41.017041600000006</v>
      </c>
    </row>
    <row r="6" spans="1:17" x14ac:dyDescent="0.25">
      <c r="A6">
        <f>'FU 0.7'!A6</f>
        <v>0.64</v>
      </c>
      <c r="B6" s="15">
        <f>'FU 0.7'!$B6</f>
        <v>34.314910619999999</v>
      </c>
      <c r="C6" s="15">
        <f t="shared" si="0"/>
        <v>34.805123629999997</v>
      </c>
      <c r="D6" s="15">
        <f>'FU 0.72'!$B6</f>
        <v>35.295336640000002</v>
      </c>
      <c r="E6" s="15">
        <f>'FU 0.73'!$B6</f>
        <v>35.78554965</v>
      </c>
      <c r="F6" s="15">
        <f>'FU 0.74'!$B6</f>
        <v>36.275762659999998</v>
      </c>
      <c r="G6" s="15">
        <f>'FU 0.75'!$B6</f>
        <v>36.765975670000003</v>
      </c>
      <c r="H6" s="15">
        <f>'FU 0.76'!$B6</f>
        <v>37.256188680000001</v>
      </c>
      <c r="I6" s="15">
        <f>'FU 0.77'!$B6</f>
        <v>37.746401689999999</v>
      </c>
      <c r="J6" s="15">
        <f>'FU 0.78'!$B6</f>
        <v>38.236614699999997</v>
      </c>
      <c r="K6" s="15">
        <f>'FU 0.79'!$B6</f>
        <v>38.726827700000001</v>
      </c>
      <c r="L6" s="15">
        <f>'FU 0.8'!$B6</f>
        <v>39.217040709999999</v>
      </c>
      <c r="M6" s="15">
        <f>'FU 0.81'!$B6</f>
        <v>39.707253719999997</v>
      </c>
      <c r="N6" s="15">
        <f>'FU 0.82'!$B6</f>
        <v>40.197466730000002</v>
      </c>
      <c r="O6" s="15">
        <f>'FU 0.83'!$B6</f>
        <v>40.68767974</v>
      </c>
      <c r="P6" s="15">
        <f>'FU 0.84'!$B6</f>
        <v>41.177892749999998</v>
      </c>
      <c r="Q6" s="15">
        <f t="shared" si="1"/>
        <v>41.668105759999996</v>
      </c>
    </row>
    <row r="7" spans="1:17" x14ac:dyDescent="0.25">
      <c r="A7">
        <f>'FU 0.7'!A7</f>
        <v>0.65</v>
      </c>
      <c r="B7" s="15">
        <f>'FU 0.7'!$B7</f>
        <v>34.851081100000002</v>
      </c>
      <c r="C7" s="15">
        <f t="shared" si="0"/>
        <v>35.348953690000002</v>
      </c>
      <c r="D7" s="15">
        <f>'FU 0.72'!$B7</f>
        <v>35.846826280000002</v>
      </c>
      <c r="E7" s="15">
        <f>'FU 0.73'!$B7</f>
        <v>36.344698860000001</v>
      </c>
      <c r="F7" s="15">
        <f>'FU 0.74'!$B7</f>
        <v>36.842571450000001</v>
      </c>
      <c r="G7" s="15">
        <f>'FU 0.75'!$B7</f>
        <v>37.340444040000001</v>
      </c>
      <c r="H7" s="15">
        <f>'FU 0.76'!$B7</f>
        <v>37.838316630000001</v>
      </c>
      <c r="I7" s="15">
        <f>'FU 0.77'!$B7</f>
        <v>38.336189210000001</v>
      </c>
      <c r="J7" s="15">
        <f>'FU 0.78'!$B7</f>
        <v>38.834061800000001</v>
      </c>
      <c r="K7" s="15">
        <f>'FU 0.79'!$B7</f>
        <v>39.331934390000001</v>
      </c>
      <c r="L7" s="15">
        <f>'FU 0.8'!$B7</f>
        <v>39.82980697</v>
      </c>
      <c r="M7" s="15">
        <f>'FU 0.81'!$B7</f>
        <v>40.32767956</v>
      </c>
      <c r="N7" s="15">
        <f>'FU 0.82'!$B7</f>
        <v>40.82555215</v>
      </c>
      <c r="O7" s="15">
        <f>'FU 0.83'!$B7</f>
        <v>41.32342474</v>
      </c>
      <c r="P7" s="15">
        <f>'FU 0.84'!$B7</f>
        <v>41.821297319999999</v>
      </c>
      <c r="Q7" s="15">
        <f t="shared" si="1"/>
        <v>42.319169899999999</v>
      </c>
    </row>
    <row r="8" spans="1:17" x14ac:dyDescent="0.25">
      <c r="A8">
        <f>'FU 0.7'!A8</f>
        <v>0.66</v>
      </c>
      <c r="B8" s="15">
        <f>'FU 0.7'!$B8</f>
        <v>35.387251579999997</v>
      </c>
      <c r="C8" s="15">
        <f t="shared" si="0"/>
        <v>35.892783745000003</v>
      </c>
      <c r="D8" s="15">
        <f>'FU 0.72'!$B8</f>
        <v>36.398315910000001</v>
      </c>
      <c r="E8" s="15">
        <f>'FU 0.73'!$B8</f>
        <v>36.903848080000003</v>
      </c>
      <c r="F8" s="15">
        <f>'FU 0.74'!$B8</f>
        <v>37.409380239999997</v>
      </c>
      <c r="G8" s="15">
        <f>'FU 0.75'!$B8</f>
        <v>37.914912409999999</v>
      </c>
      <c r="H8" s="15">
        <f>'FU 0.76'!$B8</f>
        <v>38.420444570000001</v>
      </c>
      <c r="I8" s="15">
        <f>'FU 0.77'!$B8</f>
        <v>38.925976740000003</v>
      </c>
      <c r="J8" s="15">
        <f>'FU 0.78'!$B8</f>
        <v>39.431508899999997</v>
      </c>
      <c r="K8" s="15">
        <f>'FU 0.79'!$B8</f>
        <v>39.937041069999999</v>
      </c>
      <c r="L8" s="15">
        <f>'FU 0.8'!$B8</f>
        <v>40.442573240000002</v>
      </c>
      <c r="M8" s="15">
        <f>'FU 0.81'!$B8</f>
        <v>40.948105400000003</v>
      </c>
      <c r="N8" s="15">
        <f>'FU 0.82'!$B8</f>
        <v>41.453637569999998</v>
      </c>
      <c r="O8" s="15">
        <f>'FU 0.83'!$B8</f>
        <v>41.959169729999999</v>
      </c>
      <c r="P8" s="15">
        <f>'FU 0.84'!$B8</f>
        <v>42.464701900000001</v>
      </c>
      <c r="Q8" s="15">
        <f t="shared" si="1"/>
        <v>42.970234070000004</v>
      </c>
    </row>
    <row r="9" spans="1:17" x14ac:dyDescent="0.25">
      <c r="A9">
        <f>'FU 0.7'!A9</f>
        <v>0.67</v>
      </c>
      <c r="B9" s="15">
        <f>'FU 0.7'!$B9</f>
        <v>35.92342206</v>
      </c>
      <c r="C9" s="15">
        <f t="shared" si="0"/>
        <v>36.436613805</v>
      </c>
      <c r="D9" s="15">
        <f>'FU 0.72'!$B9</f>
        <v>36.949805550000001</v>
      </c>
      <c r="E9" s="15">
        <f>'FU 0.73'!$B9</f>
        <v>37.462997289999997</v>
      </c>
      <c r="F9" s="15">
        <f>'FU 0.74'!$B9</f>
        <v>37.97618903</v>
      </c>
      <c r="G9" s="15">
        <f>'FU 0.75'!$B9</f>
        <v>38.489380779999998</v>
      </c>
      <c r="H9" s="15">
        <f>'FU 0.76'!$B9</f>
        <v>39.002572520000001</v>
      </c>
      <c r="I9" s="15">
        <f>'FU 0.77'!$B9</f>
        <v>39.515764269999998</v>
      </c>
      <c r="J9" s="15">
        <f>'FU 0.78'!$B9</f>
        <v>40.028956010000002</v>
      </c>
      <c r="K9" s="15">
        <f>'FU 0.79'!$B9</f>
        <v>40.542147749999998</v>
      </c>
      <c r="L9" s="15">
        <f>'FU 0.8'!$B9</f>
        <v>41.055339500000002</v>
      </c>
      <c r="M9" s="15">
        <f>'FU 0.81'!$B9</f>
        <v>41.568531239999999</v>
      </c>
      <c r="N9" s="15">
        <f>'FU 0.82'!$B9</f>
        <v>42.081722980000002</v>
      </c>
      <c r="O9" s="15">
        <f>'FU 0.83'!$B9</f>
        <v>42.594914729999999</v>
      </c>
      <c r="P9" s="15">
        <f>'FU 0.84'!$B9</f>
        <v>43.108106470000003</v>
      </c>
      <c r="Q9" s="15">
        <f t="shared" si="1"/>
        <v>43.621298210000006</v>
      </c>
    </row>
    <row r="10" spans="1:17" x14ac:dyDescent="0.25">
      <c r="A10">
        <f>'FU 0.7'!A10</f>
        <v>0.68</v>
      </c>
      <c r="B10" s="15">
        <f>'FU 0.7'!$B10</f>
        <v>36.459592540000003</v>
      </c>
      <c r="C10" s="15">
        <f t="shared" si="0"/>
        <v>36.980443860000001</v>
      </c>
      <c r="D10" s="15">
        <f>'FU 0.72'!$B10</f>
        <v>37.50129518</v>
      </c>
      <c r="E10" s="15">
        <f>'FU 0.73'!$B10</f>
        <v>38.022146499999998</v>
      </c>
      <c r="F10" s="15">
        <f>'FU 0.74'!$B10</f>
        <v>38.542997829999997</v>
      </c>
      <c r="G10" s="15">
        <f>'FU 0.75'!$B10</f>
        <v>39.063849150000003</v>
      </c>
      <c r="H10" s="15">
        <f>'FU 0.76'!$B10</f>
        <v>39.584700470000001</v>
      </c>
      <c r="I10" s="15">
        <f>'FU 0.77'!$B10</f>
        <v>40.10555179</v>
      </c>
      <c r="J10" s="15">
        <f>'FU 0.78'!$B10</f>
        <v>40.626403109999998</v>
      </c>
      <c r="K10" s="15">
        <f>'FU 0.79'!$B10</f>
        <v>41.147254439999998</v>
      </c>
      <c r="L10" s="15">
        <f>'FU 0.8'!$B10</f>
        <v>41.668105760000003</v>
      </c>
      <c r="M10" s="15">
        <f>'FU 0.81'!$B10</f>
        <v>42.188957080000002</v>
      </c>
      <c r="N10" s="15">
        <f>'FU 0.82'!$B10</f>
        <v>42.7098084</v>
      </c>
      <c r="O10" s="15">
        <f>'FU 0.83'!$B10</f>
        <v>43.230659719999998</v>
      </c>
      <c r="P10" s="15">
        <f>'FU 0.84'!$B10</f>
        <v>43.751511049999998</v>
      </c>
      <c r="Q10" s="15">
        <f t="shared" si="1"/>
        <v>44.272362379999997</v>
      </c>
    </row>
    <row r="11" spans="1:17" x14ac:dyDescent="0.25">
      <c r="A11">
        <f>'FU 0.7'!A11</f>
        <v>0.69</v>
      </c>
      <c r="B11" s="15">
        <f>'FU 0.7'!$B11</f>
        <v>36.995763019999998</v>
      </c>
      <c r="C11" s="15">
        <f t="shared" si="0"/>
        <v>37.524273919999999</v>
      </c>
      <c r="D11" s="15">
        <f>'FU 0.72'!$B11</f>
        <v>38.052784819999999</v>
      </c>
      <c r="E11" s="15">
        <f>'FU 0.73'!$B11</f>
        <v>38.58129572</v>
      </c>
      <c r="F11" s="15">
        <f>'FU 0.74'!$B11</f>
        <v>39.109806620000001</v>
      </c>
      <c r="G11" s="15">
        <f>'FU 0.75'!$B11</f>
        <v>39.638317520000001</v>
      </c>
      <c r="H11" s="15">
        <f>'FU 0.76'!$B11</f>
        <v>40.166828420000002</v>
      </c>
      <c r="I11" s="15">
        <f>'FU 0.77'!$B11</f>
        <v>40.695339320000002</v>
      </c>
      <c r="J11" s="15">
        <f>'FU 0.78'!$B11</f>
        <v>41.223850220000003</v>
      </c>
      <c r="K11" s="15">
        <f>'FU 0.79'!$B11</f>
        <v>41.752361120000003</v>
      </c>
      <c r="L11" s="15">
        <f>'FU 0.8'!$B11</f>
        <v>42.280872019999997</v>
      </c>
      <c r="M11" s="15">
        <f>'FU 0.81'!$B11</f>
        <v>42.809382919999997</v>
      </c>
      <c r="N11" s="15">
        <f>'FU 0.82'!$B11</f>
        <v>43.337893819999998</v>
      </c>
      <c r="O11" s="15">
        <f>'FU 0.83'!$B11</f>
        <v>43.866404719999998</v>
      </c>
      <c r="P11" s="15">
        <f>'FU 0.84'!$B11</f>
        <v>44.394915619999999</v>
      </c>
      <c r="Q11" s="15">
        <f t="shared" si="1"/>
        <v>44.92342652</v>
      </c>
    </row>
    <row r="12" spans="1:17" x14ac:dyDescent="0.25">
      <c r="A12">
        <f>'FU 0.7'!A12</f>
        <v>0.7</v>
      </c>
      <c r="B12" s="15">
        <f>'FU 0.7'!$B12</f>
        <v>37.53193349</v>
      </c>
      <c r="C12" s="15">
        <f t="shared" si="0"/>
        <v>38.068103969999996</v>
      </c>
      <c r="D12" s="15">
        <f>'FU 0.72'!$B12</f>
        <v>38.604274449999998</v>
      </c>
      <c r="E12" s="15">
        <f>'FU 0.73'!$B12</f>
        <v>39.140444930000001</v>
      </c>
      <c r="F12" s="15">
        <f>'FU 0.74'!$B12</f>
        <v>39.676615409999997</v>
      </c>
      <c r="G12" s="15">
        <f>'FU 0.75'!$B12</f>
        <v>40.212785889999999</v>
      </c>
      <c r="H12" s="15">
        <f>'FU 0.76'!$B12</f>
        <v>40.748956370000002</v>
      </c>
      <c r="I12" s="15">
        <f>'FU 0.77'!$B12</f>
        <v>41.285126839999997</v>
      </c>
      <c r="J12" s="15">
        <f>'FU 0.78'!$B12</f>
        <v>41.821297319999999</v>
      </c>
      <c r="K12" s="15">
        <f>'FU 0.79'!$B12</f>
        <v>42.357467800000002</v>
      </c>
      <c r="L12" s="15">
        <f>'FU 0.8'!$B12</f>
        <v>42.893638279999998</v>
      </c>
      <c r="M12" s="15">
        <f>'FU 0.81'!$B12</f>
        <v>43.42980876</v>
      </c>
      <c r="N12" s="15">
        <f>'FU 0.82'!$B12</f>
        <v>43.965979240000003</v>
      </c>
      <c r="O12" s="15">
        <f>'FU 0.83'!$B12</f>
        <v>44.502149719999998</v>
      </c>
      <c r="P12" s="15">
        <f>'FU 0.84'!$B12</f>
        <v>45.03832019</v>
      </c>
      <c r="Q12" s="15">
        <f t="shared" si="1"/>
        <v>45.574490660000002</v>
      </c>
    </row>
    <row r="13" spans="1:17" x14ac:dyDescent="0.25">
      <c r="A13">
        <f>'FU 0.7'!A13</f>
        <v>0.71</v>
      </c>
      <c r="B13" s="15">
        <f>'FU 0.7'!$B13</f>
        <v>38.068103970000003</v>
      </c>
      <c r="C13" s="15">
        <f t="shared" si="0"/>
        <v>38.61193403</v>
      </c>
      <c r="D13" s="15">
        <f>'FU 0.72'!$B13</f>
        <v>39.155764089999998</v>
      </c>
      <c r="E13" s="15">
        <f>'FU 0.73'!$B13</f>
        <v>39.699594140000002</v>
      </c>
      <c r="F13" s="15">
        <f>'FU 0.74'!$B13</f>
        <v>40.2434242</v>
      </c>
      <c r="G13" s="15">
        <f>'FU 0.75'!$B13</f>
        <v>40.787254259999997</v>
      </c>
      <c r="H13" s="15">
        <f>'FU 0.76'!$B13</f>
        <v>41.331084310000001</v>
      </c>
      <c r="I13" s="15">
        <f>'FU 0.77'!$B13</f>
        <v>41.874914369999999</v>
      </c>
      <c r="J13" s="15">
        <f>'FU 0.78'!$B13</f>
        <v>42.418744429999997</v>
      </c>
      <c r="K13" s="15">
        <f>'FU 0.79'!$B13</f>
        <v>42.962574480000001</v>
      </c>
      <c r="L13" s="15">
        <f>'FU 0.8'!$B13</f>
        <v>43.506404539999998</v>
      </c>
      <c r="M13" s="15">
        <f>'FU 0.81'!$B13</f>
        <v>44.050234600000003</v>
      </c>
      <c r="N13" s="15">
        <f>'FU 0.82'!$B13</f>
        <v>44.59406465</v>
      </c>
      <c r="O13" s="15">
        <f>'FU 0.83'!$B13</f>
        <v>45.137894709999998</v>
      </c>
      <c r="P13" s="15">
        <f>'FU 0.84'!$B13</f>
        <v>45.681724770000002</v>
      </c>
      <c r="Q13" s="15">
        <f t="shared" si="1"/>
        <v>46.225554830000007</v>
      </c>
    </row>
    <row r="14" spans="1:17" x14ac:dyDescent="0.25">
      <c r="A14">
        <f>'FU 0.7'!A14</f>
        <v>0.72</v>
      </c>
      <c r="B14" s="15">
        <f>'FU 0.7'!$B14</f>
        <v>38.604274449999998</v>
      </c>
      <c r="C14" s="15">
        <f t="shared" si="0"/>
        <v>39.155764085000001</v>
      </c>
      <c r="D14" s="15">
        <f>'FU 0.72'!$B14</f>
        <v>39.707253719999997</v>
      </c>
      <c r="E14" s="15">
        <f>'FU 0.73'!$B14</f>
        <v>40.258743359999997</v>
      </c>
      <c r="F14" s="15">
        <f>'FU 0.74'!$B14</f>
        <v>40.810232990000003</v>
      </c>
      <c r="G14" s="15">
        <f>'FU 0.75'!$B14</f>
        <v>41.361722630000003</v>
      </c>
      <c r="H14" s="15">
        <f>'FU 0.76'!$B14</f>
        <v>41.913212260000002</v>
      </c>
      <c r="I14" s="15">
        <f>'FU 0.77'!$B14</f>
        <v>42.464701900000001</v>
      </c>
      <c r="J14" s="15">
        <f>'FU 0.78'!$B14</f>
        <v>43.01619153</v>
      </c>
      <c r="K14" s="15">
        <f>'FU 0.79'!$B14</f>
        <v>43.56768117</v>
      </c>
      <c r="L14" s="15">
        <f>'FU 0.8'!$B14</f>
        <v>44.119170799999999</v>
      </c>
      <c r="M14" s="15">
        <f>'FU 0.81'!$B14</f>
        <v>44.670660439999999</v>
      </c>
      <c r="N14" s="15">
        <f>'FU 0.82'!$B14</f>
        <v>45.222150069999998</v>
      </c>
      <c r="O14" s="15">
        <f>'FU 0.83'!$B14</f>
        <v>45.773639709999998</v>
      </c>
      <c r="P14" s="15">
        <f>'FU 0.84'!$B14</f>
        <v>46.325129339999997</v>
      </c>
      <c r="Q14" s="15">
        <f t="shared" si="1"/>
        <v>46.876618969999996</v>
      </c>
    </row>
    <row r="15" spans="1:17" x14ac:dyDescent="0.25">
      <c r="A15">
        <f>'FU 0.7'!A15</f>
        <v>0.73</v>
      </c>
      <c r="B15" s="15">
        <f>'FU 0.7'!$B15</f>
        <v>39.140444930000001</v>
      </c>
      <c r="C15" s="15">
        <f t="shared" si="0"/>
        <v>39.699594144999999</v>
      </c>
      <c r="D15" s="15">
        <f>'FU 0.72'!$B15</f>
        <v>40.258743359999997</v>
      </c>
      <c r="E15" s="15">
        <f>'FU 0.73'!$B15</f>
        <v>40.817892569999998</v>
      </c>
      <c r="F15" s="15">
        <f>'FU 0.74'!$B15</f>
        <v>41.377041779999999</v>
      </c>
      <c r="G15" s="15">
        <f>'FU 0.75'!$B15</f>
        <v>41.936191000000001</v>
      </c>
      <c r="H15" s="15">
        <f>'FU 0.76'!$B15</f>
        <v>42.495340210000002</v>
      </c>
      <c r="I15" s="15">
        <f>'FU 0.77'!$B15</f>
        <v>43.054489420000003</v>
      </c>
      <c r="J15" s="15">
        <f>'FU 0.78'!$B15</f>
        <v>43.613638639999998</v>
      </c>
      <c r="K15" s="15">
        <f>'FU 0.79'!$B15</f>
        <v>44.172787849999999</v>
      </c>
      <c r="L15" s="15">
        <f>'FU 0.8'!$B15</f>
        <v>44.73193706</v>
      </c>
      <c r="M15" s="15">
        <f>'FU 0.81'!$B15</f>
        <v>45.291086280000002</v>
      </c>
      <c r="N15" s="15">
        <f>'FU 0.82'!$B15</f>
        <v>45.850235490000003</v>
      </c>
      <c r="O15" s="15">
        <f>'FU 0.83'!$B15</f>
        <v>46.409384699999997</v>
      </c>
      <c r="P15" s="15">
        <f>'FU 0.84'!$B15</f>
        <v>46.968533919999999</v>
      </c>
      <c r="Q15" s="15">
        <f t="shared" si="1"/>
        <v>47.527683140000001</v>
      </c>
    </row>
    <row r="16" spans="1:17" x14ac:dyDescent="0.25">
      <c r="A16">
        <f>'FU 0.7'!A16</f>
        <v>0.74</v>
      </c>
      <c r="B16" s="15">
        <f>'FU 0.7'!$B16</f>
        <v>39.676615409999997</v>
      </c>
      <c r="C16" s="15">
        <f t="shared" si="0"/>
        <v>40.2434242</v>
      </c>
      <c r="D16" s="15">
        <f>'FU 0.72'!$B16</f>
        <v>40.810232990000003</v>
      </c>
      <c r="E16" s="15">
        <f>'FU 0.73'!$B16</f>
        <v>41.377041779999999</v>
      </c>
      <c r="F16" s="15">
        <f>'FU 0.74'!$B16</f>
        <v>41.943850580000003</v>
      </c>
      <c r="G16" s="15">
        <f>'FU 0.75'!$B16</f>
        <v>42.510659369999999</v>
      </c>
      <c r="H16" s="15">
        <f>'FU 0.76'!$B16</f>
        <v>43.077468160000002</v>
      </c>
      <c r="I16" s="15">
        <f>'FU 0.77'!$B16</f>
        <v>43.644276949999998</v>
      </c>
      <c r="J16" s="15">
        <f>'FU 0.78'!$B16</f>
        <v>44.211085740000001</v>
      </c>
      <c r="K16" s="15">
        <f>'FU 0.79'!$B16</f>
        <v>44.777894529999998</v>
      </c>
      <c r="L16" s="15">
        <f>'FU 0.8'!$B16</f>
        <v>45.344703320000001</v>
      </c>
      <c r="M16" s="15">
        <f>'FU 0.81'!$B16</f>
        <v>45.911512119999998</v>
      </c>
      <c r="N16" s="15">
        <f>'FU 0.82'!$B16</f>
        <v>46.478320910000001</v>
      </c>
      <c r="O16" s="15">
        <f>'FU 0.83'!$B16</f>
        <v>47.045129699999997</v>
      </c>
      <c r="P16" s="15">
        <f>'FU 0.84'!$B16</f>
        <v>47.61193849</v>
      </c>
      <c r="Q16" s="15">
        <f t="shared" si="1"/>
        <v>48.178747280000003</v>
      </c>
    </row>
    <row r="17" spans="1:17" x14ac:dyDescent="0.25">
      <c r="A17">
        <f>'FU 0.7'!A17</f>
        <v>0.75</v>
      </c>
      <c r="B17" s="15">
        <f>'FU 0.7'!$B17</f>
        <v>40.212785889999999</v>
      </c>
      <c r="C17" s="15">
        <f t="shared" si="0"/>
        <v>40.787254259999997</v>
      </c>
      <c r="D17" s="15">
        <f>'FU 0.72'!$B17</f>
        <v>41.361722630000003</v>
      </c>
      <c r="E17" s="15">
        <f>'FU 0.73'!$B17</f>
        <v>41.936191000000001</v>
      </c>
      <c r="F17" s="15">
        <f>'FU 0.74'!$B17</f>
        <v>42.510659369999999</v>
      </c>
      <c r="G17" s="15">
        <f>'FU 0.75'!$B17</f>
        <v>43.085127739999997</v>
      </c>
      <c r="H17" s="15">
        <f>'FU 0.76'!$B17</f>
        <v>43.659596110000003</v>
      </c>
      <c r="I17" s="15">
        <f>'FU 0.77'!$B17</f>
        <v>44.234064480000001</v>
      </c>
      <c r="J17" s="15">
        <f>'FU 0.78'!$B17</f>
        <v>44.808532849999999</v>
      </c>
      <c r="K17" s="15">
        <f>'FU 0.79'!$B17</f>
        <v>45.383001219999997</v>
      </c>
      <c r="L17" s="15">
        <f>'FU 0.8'!$B17</f>
        <v>45.957469590000002</v>
      </c>
      <c r="M17" s="15">
        <f>'FU 0.81'!$B17</f>
        <v>46.53193796</v>
      </c>
      <c r="N17" s="15">
        <f>'FU 0.82'!$B17</f>
        <v>47.106406329999999</v>
      </c>
      <c r="O17" s="15">
        <f>'FU 0.83'!$B17</f>
        <v>47.680874699999997</v>
      </c>
      <c r="P17" s="15">
        <f>'FU 0.84'!$B17</f>
        <v>48.255343060000001</v>
      </c>
      <c r="Q17" s="15">
        <f t="shared" si="1"/>
        <v>48.829811420000006</v>
      </c>
    </row>
    <row r="18" spans="1:17" x14ac:dyDescent="0.25">
      <c r="A18">
        <f>'FU 0.7'!A18</f>
        <v>0.76</v>
      </c>
      <c r="B18" s="15">
        <f>'FU 0.7'!$B18</f>
        <v>40.748956370000002</v>
      </c>
      <c r="C18" s="15">
        <f t="shared" si="0"/>
        <v>41.331084314999998</v>
      </c>
      <c r="D18" s="15">
        <f>'FU 0.72'!$B18</f>
        <v>41.913212260000002</v>
      </c>
      <c r="E18" s="15">
        <f>'FU 0.73'!$B18</f>
        <v>42.495340210000002</v>
      </c>
      <c r="F18" s="15">
        <f>'FU 0.74'!$B18</f>
        <v>43.077468160000002</v>
      </c>
      <c r="G18" s="15">
        <f>'FU 0.75'!$B18</f>
        <v>43.659596110000003</v>
      </c>
      <c r="H18" s="15">
        <f>'FU 0.76'!$B18</f>
        <v>44.241724050000002</v>
      </c>
      <c r="I18" s="15">
        <f>'FU 0.77'!$B18</f>
        <v>44.823852000000002</v>
      </c>
      <c r="J18" s="15">
        <f>'FU 0.78'!$B18</f>
        <v>45.405979950000003</v>
      </c>
      <c r="K18" s="15">
        <f>'FU 0.79'!$B18</f>
        <v>45.988107900000003</v>
      </c>
      <c r="L18" s="15">
        <f>'FU 0.8'!$B18</f>
        <v>46.570235850000003</v>
      </c>
      <c r="M18" s="15">
        <f>'FU 0.81'!$B18</f>
        <v>47.152363790000003</v>
      </c>
      <c r="N18" s="15">
        <f>'FU 0.82'!$B18</f>
        <v>47.734491740000003</v>
      </c>
      <c r="O18" s="15">
        <f>'FU 0.83'!$B18</f>
        <v>48.316619690000003</v>
      </c>
      <c r="P18" s="15">
        <f>'FU 0.84'!$B18</f>
        <v>48.898747640000003</v>
      </c>
      <c r="Q18" s="15">
        <f t="shared" si="1"/>
        <v>49.480875590000004</v>
      </c>
    </row>
    <row r="19" spans="1:17" x14ac:dyDescent="0.25">
      <c r="A19">
        <f>'FU 0.7'!A19</f>
        <v>0.77</v>
      </c>
      <c r="B19" s="15">
        <f>'FU 0.7'!$B19</f>
        <v>41.285126839999997</v>
      </c>
      <c r="C19" s="15">
        <f t="shared" si="0"/>
        <v>41.874914369999999</v>
      </c>
      <c r="D19" s="15">
        <f>'FU 0.72'!$B19</f>
        <v>42.464701900000001</v>
      </c>
      <c r="E19" s="15">
        <f>'FU 0.73'!$B19</f>
        <v>43.054489420000003</v>
      </c>
      <c r="F19" s="15">
        <f>'FU 0.74'!$B19</f>
        <v>43.644276949999998</v>
      </c>
      <c r="G19" s="15">
        <f>'FU 0.75'!$B19</f>
        <v>44.234064480000001</v>
      </c>
      <c r="H19" s="15">
        <f>'FU 0.76'!$B19</f>
        <v>44.823852000000002</v>
      </c>
      <c r="I19" s="15">
        <f>'FU 0.77'!$B19</f>
        <v>45.413639529999998</v>
      </c>
      <c r="J19" s="15">
        <f>'FU 0.78'!$B19</f>
        <v>46.00342706</v>
      </c>
      <c r="K19" s="15">
        <f>'FU 0.79'!$B19</f>
        <v>46.593214580000001</v>
      </c>
      <c r="L19" s="15">
        <f>'FU 0.8'!$B19</f>
        <v>47.183002109999997</v>
      </c>
      <c r="M19" s="15">
        <f>'FU 0.81'!$B19</f>
        <v>47.772789629999998</v>
      </c>
      <c r="N19" s="15">
        <f>'FU 0.82'!$B19</f>
        <v>48.362577160000001</v>
      </c>
      <c r="O19" s="15">
        <f>'FU 0.83'!$B19</f>
        <v>48.952364690000003</v>
      </c>
      <c r="P19" s="15">
        <f>'FU 0.84'!$B19</f>
        <v>49.542152209999998</v>
      </c>
      <c r="Q19" s="15">
        <f t="shared" si="1"/>
        <v>50.131939729999992</v>
      </c>
    </row>
    <row r="20" spans="1:17" x14ac:dyDescent="0.25">
      <c r="A20">
        <f>'FU 0.7'!A20</f>
        <v>0.78</v>
      </c>
      <c r="B20" s="15">
        <f>'FU 0.7'!$B20</f>
        <v>41.821297319999999</v>
      </c>
      <c r="C20" s="15">
        <f t="shared" si="0"/>
        <v>42.418744425</v>
      </c>
      <c r="D20" s="15">
        <f>'FU 0.72'!$B20</f>
        <v>43.01619153</v>
      </c>
      <c r="E20" s="15">
        <f>'FU 0.73'!$B20</f>
        <v>43.613638639999998</v>
      </c>
      <c r="F20" s="15">
        <f>'FU 0.74'!$B20</f>
        <v>44.211085740000001</v>
      </c>
      <c r="G20" s="15">
        <f>'FU 0.75'!$B20</f>
        <v>44.808532849999999</v>
      </c>
      <c r="H20" s="15">
        <f>'FU 0.76'!$B20</f>
        <v>45.405979950000003</v>
      </c>
      <c r="I20" s="15">
        <f>'FU 0.77'!$B20</f>
        <v>46.00342706</v>
      </c>
      <c r="J20" s="15">
        <f>'FU 0.78'!$B20</f>
        <v>46.600874159999996</v>
      </c>
      <c r="K20" s="15">
        <f>'FU 0.79'!$B20</f>
        <v>47.19832126</v>
      </c>
      <c r="L20" s="15">
        <f>'FU 0.8'!$B20</f>
        <v>47.795768369999998</v>
      </c>
      <c r="M20" s="15">
        <f>'FU 0.81'!$B20</f>
        <v>48.393215470000001</v>
      </c>
      <c r="N20" s="15">
        <f>'FU 0.82'!$B20</f>
        <v>48.990662579999999</v>
      </c>
      <c r="O20" s="15">
        <f>'FU 0.83'!$B20</f>
        <v>49.588109680000002</v>
      </c>
      <c r="P20" s="15">
        <f>'FU 0.84'!$B20</f>
        <v>50.18555679</v>
      </c>
      <c r="Q20" s="15">
        <f t="shared" si="1"/>
        <v>50.783003899999997</v>
      </c>
    </row>
    <row r="21" spans="1:17" x14ac:dyDescent="0.25">
      <c r="A21">
        <f>'FU 0.7'!A21</f>
        <v>0.79</v>
      </c>
      <c r="B21" s="15">
        <f>'FU 0.7'!$B21</f>
        <v>42.357467800000002</v>
      </c>
      <c r="C21" s="15">
        <f t="shared" si="0"/>
        <v>42.962574485000005</v>
      </c>
      <c r="D21" s="15">
        <f>'FU 0.72'!$B21</f>
        <v>43.56768117</v>
      </c>
      <c r="E21" s="15">
        <f>'FU 0.73'!$B21</f>
        <v>44.172787849999999</v>
      </c>
      <c r="F21" s="15">
        <f>'FU 0.74'!$B21</f>
        <v>44.777894529999998</v>
      </c>
      <c r="G21" s="15">
        <f>'FU 0.75'!$B21</f>
        <v>45.383001219999997</v>
      </c>
      <c r="H21" s="15">
        <f>'FU 0.76'!$B21</f>
        <v>45.988107900000003</v>
      </c>
      <c r="I21" s="15">
        <f>'FU 0.77'!$B21</f>
        <v>46.593214580000001</v>
      </c>
      <c r="J21" s="15">
        <f>'FU 0.78'!$B21</f>
        <v>47.19832126</v>
      </c>
      <c r="K21" s="15">
        <f>'FU 0.79'!$B21</f>
        <v>47.80342795</v>
      </c>
      <c r="L21" s="15">
        <f>'FU 0.8'!$B21</f>
        <v>48.408534629999998</v>
      </c>
      <c r="M21" s="15">
        <f>'FU 0.81'!$B21</f>
        <v>49.013641309999997</v>
      </c>
      <c r="N21" s="15">
        <f>'FU 0.82'!$B21</f>
        <v>49.618747999999997</v>
      </c>
      <c r="O21" s="15">
        <f>'FU 0.83'!$B21</f>
        <v>50.223854680000002</v>
      </c>
      <c r="P21" s="15">
        <f>'FU 0.84'!$B21</f>
        <v>50.828961360000001</v>
      </c>
      <c r="Q21" s="15">
        <f t="shared" si="1"/>
        <v>51.43406804</v>
      </c>
    </row>
    <row r="22" spans="1:17" x14ac:dyDescent="0.25">
      <c r="A22">
        <f>'FU 0.7'!A22</f>
        <v>0.8</v>
      </c>
      <c r="B22" s="15">
        <f>'FU 0.7'!$B22</f>
        <v>42.893638279999998</v>
      </c>
      <c r="C22" s="15">
        <f t="shared" si="0"/>
        <v>43.506404539999998</v>
      </c>
      <c r="D22" s="15">
        <f>'FU 0.72'!$B22</f>
        <v>44.119170799999999</v>
      </c>
      <c r="E22" s="15">
        <f>'FU 0.73'!$B22</f>
        <v>44.73193706</v>
      </c>
      <c r="F22" s="15">
        <f>'FU 0.74'!$B22</f>
        <v>45.344703320000001</v>
      </c>
      <c r="G22" s="15">
        <f>'FU 0.75'!$B22</f>
        <v>45.957469590000002</v>
      </c>
      <c r="H22" s="15">
        <f>'FU 0.76'!$B22</f>
        <v>46.570235850000003</v>
      </c>
      <c r="I22" s="15">
        <f>'FU 0.77'!$B22</f>
        <v>47.183002109999997</v>
      </c>
      <c r="J22" s="15">
        <f>'FU 0.78'!$B22</f>
        <v>47.795768369999998</v>
      </c>
      <c r="K22" s="15">
        <f>'FU 0.79'!$B22</f>
        <v>48.408534629999998</v>
      </c>
      <c r="L22" s="15">
        <f>'FU 0.8'!$B22</f>
        <v>49.021300889999999</v>
      </c>
      <c r="M22" s="15">
        <f>'FU 0.81'!$B22</f>
        <v>49.63406715</v>
      </c>
      <c r="N22" s="15">
        <f>'FU 0.82'!$B22</f>
        <v>50.246833410000001</v>
      </c>
      <c r="O22" s="15">
        <f>'FU 0.83'!$B22</f>
        <v>50.859599670000001</v>
      </c>
      <c r="P22" s="15">
        <f>'FU 0.84'!$B22</f>
        <v>51.472365940000003</v>
      </c>
      <c r="Q22" s="15">
        <f t="shared" si="1"/>
        <v>52.085132210000005</v>
      </c>
    </row>
    <row r="23" spans="1:17" x14ac:dyDescent="0.25">
      <c r="A23">
        <f>'FU 0.7'!A23</f>
        <v>0.81</v>
      </c>
      <c r="B23" s="15">
        <f>'FU 0.7'!$B23</f>
        <v>43.42980876</v>
      </c>
      <c r="C23" s="15">
        <f t="shared" si="0"/>
        <v>44.050234599999996</v>
      </c>
      <c r="D23" s="15">
        <f>'FU 0.72'!$B23</f>
        <v>44.670660439999999</v>
      </c>
      <c r="E23" s="15">
        <f>'FU 0.73'!$B23</f>
        <v>45.291086280000002</v>
      </c>
      <c r="F23" s="15">
        <f>'FU 0.74'!$B23</f>
        <v>45.911512119999998</v>
      </c>
      <c r="G23" s="15">
        <f>'FU 0.75'!$B23</f>
        <v>46.53193796</v>
      </c>
      <c r="H23" s="15">
        <f>'FU 0.76'!$B23</f>
        <v>47.152363790000003</v>
      </c>
      <c r="I23" s="15">
        <f>'FU 0.77'!$B23</f>
        <v>47.772789629999998</v>
      </c>
      <c r="J23" s="15">
        <f>'FU 0.78'!$B23</f>
        <v>48.393215470000001</v>
      </c>
      <c r="K23" s="15">
        <f>'FU 0.79'!$B23</f>
        <v>49.013641309999997</v>
      </c>
      <c r="L23" s="15">
        <f>'FU 0.8'!$B23</f>
        <v>49.63406715</v>
      </c>
      <c r="M23" s="15">
        <f>'FU 0.81'!$B23</f>
        <v>50.254492990000003</v>
      </c>
      <c r="N23" s="15">
        <f>'FU 0.82'!$B23</f>
        <v>50.874918829999999</v>
      </c>
      <c r="O23" s="15">
        <f>'FU 0.83'!$B23</f>
        <v>51.495344670000001</v>
      </c>
      <c r="P23" s="15">
        <f>'FU 0.84'!$B23</f>
        <v>52.115770509999997</v>
      </c>
      <c r="Q23" s="15">
        <f t="shared" si="1"/>
        <v>52.736196349999993</v>
      </c>
    </row>
    <row r="24" spans="1:17" x14ac:dyDescent="0.25">
      <c r="A24">
        <f>'FU 0.7'!A24</f>
        <v>0.82</v>
      </c>
      <c r="B24" s="15">
        <f>'FU 0.7'!$B24</f>
        <v>43.965979240000003</v>
      </c>
      <c r="C24" s="15">
        <f t="shared" si="0"/>
        <v>44.594064654999997</v>
      </c>
      <c r="D24" s="15">
        <f>'FU 0.72'!$B24</f>
        <v>45.222150069999998</v>
      </c>
      <c r="E24" s="15">
        <f>'FU 0.73'!$B24</f>
        <v>45.850235490000003</v>
      </c>
      <c r="F24" s="15">
        <f>'FU 0.74'!$B24</f>
        <v>46.478320910000001</v>
      </c>
      <c r="G24" s="15">
        <f>'FU 0.75'!$B24</f>
        <v>47.106406329999999</v>
      </c>
      <c r="H24" s="15">
        <f>'FU 0.76'!$B24</f>
        <v>47.734491740000003</v>
      </c>
      <c r="I24" s="15">
        <f>'FU 0.77'!$B24</f>
        <v>48.362577160000001</v>
      </c>
      <c r="J24" s="15">
        <f>'FU 0.78'!$B24</f>
        <v>48.990662579999999</v>
      </c>
      <c r="K24" s="15">
        <f>'FU 0.79'!$B24</f>
        <v>49.618747999999997</v>
      </c>
      <c r="L24" s="15">
        <f>'FU 0.8'!$B24</f>
        <v>50.246833410000001</v>
      </c>
      <c r="M24" s="15">
        <f>'FU 0.81'!$B24</f>
        <v>50.874918829999999</v>
      </c>
      <c r="N24" s="15">
        <f>'FU 0.82'!$B24</f>
        <v>51.503004249999996</v>
      </c>
      <c r="O24" s="15">
        <f>'FU 0.83'!$B24</f>
        <v>52.131089670000001</v>
      </c>
      <c r="P24" s="15">
        <f>'FU 0.84'!$B24</f>
        <v>52.759175079999999</v>
      </c>
      <c r="Q24" s="15">
        <f t="shared" si="1"/>
        <v>53.387260489999996</v>
      </c>
    </row>
    <row r="25" spans="1:17" x14ac:dyDescent="0.25">
      <c r="A25">
        <f>'FU 0.7'!A25</f>
        <v>0.83</v>
      </c>
      <c r="B25" s="15">
        <f>'FU 0.7'!$B25</f>
        <v>44.502149719999998</v>
      </c>
      <c r="C25" s="15">
        <f t="shared" si="0"/>
        <v>45.137894715000002</v>
      </c>
      <c r="D25" s="15">
        <f>'FU 0.72'!$B25</f>
        <v>45.773639709999998</v>
      </c>
      <c r="E25" s="15">
        <f>'FU 0.73'!$B25</f>
        <v>46.409384699999997</v>
      </c>
      <c r="F25" s="15">
        <f>'FU 0.74'!$B25</f>
        <v>47.045129699999997</v>
      </c>
      <c r="G25" s="15">
        <f>'FU 0.75'!$B25</f>
        <v>47.680874699999997</v>
      </c>
      <c r="H25" s="15">
        <f>'FU 0.76'!$B25</f>
        <v>48.316619690000003</v>
      </c>
      <c r="I25" s="15">
        <f>'FU 0.77'!$B25</f>
        <v>48.952364690000003</v>
      </c>
      <c r="J25" s="15">
        <f>'FU 0.78'!$B25</f>
        <v>49.588109680000002</v>
      </c>
      <c r="K25" s="15">
        <f>'FU 0.79'!$B25</f>
        <v>50.223854680000002</v>
      </c>
      <c r="L25" s="15">
        <f>'FU 0.8'!$B25</f>
        <v>50.859599670000001</v>
      </c>
      <c r="M25" s="15">
        <f>'FU 0.81'!$B25</f>
        <v>51.495344670000001</v>
      </c>
      <c r="N25" s="15">
        <f>'FU 0.82'!$B25</f>
        <v>52.131089670000001</v>
      </c>
      <c r="O25" s="15">
        <f>'FU 0.83'!$B25</f>
        <v>52.766834660000001</v>
      </c>
      <c r="P25" s="15">
        <f>'FU 0.84'!$B25</f>
        <v>53.402579660000001</v>
      </c>
      <c r="Q25" s="15">
        <f t="shared" si="1"/>
        <v>54.038324660000001</v>
      </c>
    </row>
    <row r="26" spans="1:17" x14ac:dyDescent="0.25">
      <c r="A26">
        <f>'FU 0.7'!A26</f>
        <v>0.84</v>
      </c>
      <c r="B26" s="15">
        <f>'FU 0.7'!$B26</f>
        <v>45.03832019</v>
      </c>
      <c r="C26" s="15">
        <f t="shared" si="0"/>
        <v>45.681724764999998</v>
      </c>
      <c r="D26" s="15">
        <f>'FU 0.72'!$B26</f>
        <v>46.325129339999997</v>
      </c>
      <c r="E26" s="15">
        <f>'FU 0.73'!$B26</f>
        <v>46.968533919999999</v>
      </c>
      <c r="F26" s="15">
        <f>'FU 0.74'!$B26</f>
        <v>47.61193849</v>
      </c>
      <c r="G26" s="15">
        <f>'FU 0.75'!$B26</f>
        <v>48.255343060000001</v>
      </c>
      <c r="H26" s="15">
        <f>'FU 0.76'!$B26</f>
        <v>48.898747640000003</v>
      </c>
      <c r="I26" s="15">
        <f>'FU 0.77'!$B26</f>
        <v>49.542152209999998</v>
      </c>
      <c r="J26" s="15">
        <f>'FU 0.78'!$B26</f>
        <v>50.18555679</v>
      </c>
      <c r="K26" s="15">
        <f>'FU 0.79'!$B26</f>
        <v>50.828961360000001</v>
      </c>
      <c r="L26" s="15">
        <f>'FU 0.8'!$B26</f>
        <v>51.472365940000003</v>
      </c>
      <c r="M26" s="15">
        <f>'FU 0.81'!$B26</f>
        <v>52.115770509999997</v>
      </c>
      <c r="N26" s="15">
        <f>'FU 0.82'!$B26</f>
        <v>52.759175079999999</v>
      </c>
      <c r="O26" s="15">
        <f>'FU 0.83'!$B26</f>
        <v>53.402579660000001</v>
      </c>
      <c r="P26" s="15">
        <f>'FU 0.84'!$B26</f>
        <v>54.045984230000002</v>
      </c>
      <c r="Q26" s="15">
        <f t="shared" si="1"/>
        <v>54.689388800000003</v>
      </c>
    </row>
    <row r="27" spans="1:17" x14ac:dyDescent="0.25">
      <c r="A27">
        <f>'FU 0.7'!A27</f>
        <v>0.85</v>
      </c>
      <c r="B27" s="15">
        <f>'FU 0.7'!$B27</f>
        <v>45.574490670000003</v>
      </c>
      <c r="C27" s="15">
        <f t="shared" si="0"/>
        <v>46.225554825000003</v>
      </c>
      <c r="D27" s="15">
        <f>'FU 0.72'!$B27</f>
        <v>46.876618980000003</v>
      </c>
      <c r="E27" s="15">
        <f>'FU 0.73'!$B27</f>
        <v>47.52768313</v>
      </c>
      <c r="F27" s="15">
        <f>'FU 0.74'!$B27</f>
        <v>48.178747280000003</v>
      </c>
      <c r="G27" s="15">
        <f>'FU 0.75'!$B27</f>
        <v>48.829811429999999</v>
      </c>
      <c r="H27" s="15">
        <f>'FU 0.76'!$B27</f>
        <v>49.480875589999997</v>
      </c>
      <c r="I27" s="15">
        <f>'FU 0.77'!$B27</f>
        <v>50.13193974</v>
      </c>
      <c r="J27" s="15">
        <f>'FU 0.78'!$B27</f>
        <v>50.783003890000003</v>
      </c>
      <c r="K27" s="15">
        <f>'FU 0.79'!$B27</f>
        <v>51.43406804</v>
      </c>
      <c r="L27" s="15">
        <f>'FU 0.8'!$B27</f>
        <v>52.085132199999997</v>
      </c>
      <c r="M27" s="15">
        <f>'FU 0.81'!$B27</f>
        <v>52.73619635</v>
      </c>
      <c r="N27" s="15">
        <f>'FU 0.82'!$B27</f>
        <v>53.387260499999996</v>
      </c>
      <c r="O27" s="15">
        <f>'FU 0.83'!$B27</f>
        <v>54.03832465</v>
      </c>
      <c r="P27" s="15">
        <f>'FU 0.84'!$B27</f>
        <v>54.689388809999997</v>
      </c>
      <c r="Q27" s="15">
        <f t="shared" si="1"/>
        <v>55.340452969999994</v>
      </c>
    </row>
  </sheetData>
  <conditionalFormatting sqref="B2:Q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opLeftCell="A13" workbookViewId="0">
      <selection activeCell="E6" sqref="E6"/>
    </sheetView>
  </sheetViews>
  <sheetFormatPr defaultRowHeight="15" x14ac:dyDescent="0.25"/>
  <sheetData>
    <row r="1" spans="1:12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</row>
    <row r="2" spans="1:12" x14ac:dyDescent="0.25">
      <c r="A2">
        <f>0.6</f>
        <v>0.6</v>
      </c>
      <c r="B2">
        <f>34.00852749</f>
        <v>34.008527489999999</v>
      </c>
      <c r="C2">
        <f>31.45096223</f>
        <v>31.450962229999998</v>
      </c>
      <c r="D2">
        <f>33.95046479</f>
        <v>33.950464789999998</v>
      </c>
      <c r="E2">
        <f>65.40142702</f>
        <v>65.40142702</v>
      </c>
      <c r="F2">
        <f>33.13359919</f>
        <v>33.133599189999998</v>
      </c>
      <c r="G2">
        <f>30.64183173</f>
        <v>30.64183173</v>
      </c>
      <c r="H2">
        <f>8.504627892</f>
        <v>8.5046278920000002</v>
      </c>
      <c r="I2">
        <f>39.14645962</f>
        <v>39.146459620000002</v>
      </c>
      <c r="J2">
        <f>166.01152</f>
        <v>166.01151999999999</v>
      </c>
      <c r="K2">
        <f>4.9827704</f>
        <v>4.9827703999999997</v>
      </c>
      <c r="L2">
        <f>9074.7619</f>
        <v>9074.7618999999995</v>
      </c>
    </row>
    <row r="3" spans="1:12" x14ac:dyDescent="0.25">
      <c r="A3">
        <f>0.61</f>
        <v>0.61</v>
      </c>
      <c r="B3">
        <f>34.57533628</f>
        <v>34.575336280000002</v>
      </c>
      <c r="C3">
        <f>32.05673724</f>
        <v>32.056737239999997</v>
      </c>
      <c r="D3">
        <f>33.81614407</f>
        <v>33.81614407</v>
      </c>
      <c r="E3">
        <f>65.87288131</f>
        <v>65.872881309999997</v>
      </c>
      <c r="F3">
        <f>33.68582584</f>
        <v>33.68582584</v>
      </c>
      <c r="G3">
        <f>31.23202212</f>
        <v>31.23202212</v>
      </c>
      <c r="H3">
        <f>8.500410075</f>
        <v>8.5004100749999996</v>
      </c>
      <c r="I3">
        <f>39.7324322</f>
        <v>39.732432199999998</v>
      </c>
      <c r="J3">
        <f>164.40031</f>
        <v>164.40030999999999</v>
      </c>
      <c r="K3">
        <f>5.0600933</f>
        <v>5.0600933000000001</v>
      </c>
      <c r="L3">
        <f>8839.3649</f>
        <v>8839.3649000000005</v>
      </c>
    </row>
    <row r="4" spans="1:12" x14ac:dyDescent="0.25">
      <c r="A4">
        <f>0.62</f>
        <v>0.62</v>
      </c>
      <c r="B4">
        <f>35.14214508</f>
        <v>35.142145079999999</v>
      </c>
      <c r="C4">
        <f>32.66254189</f>
        <v>32.66254189</v>
      </c>
      <c r="D4">
        <f>33.68172239</f>
        <v>33.681722389999997</v>
      </c>
      <c r="E4">
        <f>66.34426429</f>
        <v>66.344264289999998</v>
      </c>
      <c r="F4">
        <f>34.2380525</f>
        <v>34.238052500000002</v>
      </c>
      <c r="G4">
        <f>31.8222414</f>
        <v>31.822241399999999</v>
      </c>
      <c r="H4">
        <f>8.496662158</f>
        <v>8.4966621579999995</v>
      </c>
      <c r="I4">
        <f>40.31890356</f>
        <v>40.318903560000003</v>
      </c>
      <c r="J4">
        <f>162.64174</f>
        <v>162.64174</v>
      </c>
      <c r="K4">
        <f>5.1399155</f>
        <v>5.1399154999999999</v>
      </c>
      <c r="L4">
        <f>8603.7662</f>
        <v>8603.7662</v>
      </c>
    </row>
    <row r="5" spans="1:12" x14ac:dyDescent="0.25">
      <c r="A5">
        <f>0.63</f>
        <v>0.63</v>
      </c>
      <c r="B5">
        <f>35.70895387</f>
        <v>35.708953870000002</v>
      </c>
      <c r="C5">
        <f>33.26837877</f>
        <v>33.268378769999998</v>
      </c>
      <c r="D5">
        <f>33.5471909</f>
        <v>33.547190899999997</v>
      </c>
      <c r="E5">
        <f>66.81556967</f>
        <v>66.815569670000002</v>
      </c>
      <c r="F5">
        <f>34.79027915</f>
        <v>34.790279150000003</v>
      </c>
      <c r="G5">
        <f>32.41249208</f>
        <v>32.41249208</v>
      </c>
      <c r="H5">
        <f>8.493405375</f>
        <v>8.493405375</v>
      </c>
      <c r="I5">
        <f>40.90589745</f>
        <v>40.905897449999998</v>
      </c>
      <c r="J5">
        <f>160.73533</f>
        <v>160.73533</v>
      </c>
      <c r="K5">
        <f>5.2223656</f>
        <v>5.2223655999999998</v>
      </c>
      <c r="L5">
        <f>8367.9499</f>
        <v>8367.9498999999996</v>
      </c>
    </row>
    <row r="6" spans="1:12" x14ac:dyDescent="0.25">
      <c r="A6">
        <f>0.64</f>
        <v>0.64</v>
      </c>
      <c r="B6">
        <f>36.27576266</f>
        <v>36.275762659999998</v>
      </c>
      <c r="C6">
        <f>33.87425078</f>
        <v>33.874250779999997</v>
      </c>
      <c r="D6">
        <f>33.41253966</f>
        <v>33.41253966</v>
      </c>
      <c r="E6">
        <f>67.28679044</f>
        <v>67.286790440000004</v>
      </c>
      <c r="F6">
        <f>35.3425058</f>
        <v>35.342505799999998</v>
      </c>
      <c r="G6">
        <f>33.00277697</f>
        <v>33.002776969999999</v>
      </c>
      <c r="H6">
        <f>8.490662357</f>
        <v>8.4906623569999997</v>
      </c>
      <c r="I6">
        <f>41.49343933</f>
        <v>41.493439330000001</v>
      </c>
      <c r="J6">
        <f>158.68053</f>
        <v>158.68053</v>
      </c>
      <c r="K6">
        <f>5.307582</f>
        <v>5.307582</v>
      </c>
      <c r="L6">
        <f>8131.8982</f>
        <v>8131.8981999999996</v>
      </c>
    </row>
    <row r="7" spans="1:12" x14ac:dyDescent="0.25">
      <c r="A7">
        <f>0.65</f>
        <v>0.65</v>
      </c>
      <c r="B7">
        <f>36.84257145</f>
        <v>36.842571450000001</v>
      </c>
      <c r="C7">
        <f>34.48016117</f>
        <v>34.480161170000002</v>
      </c>
      <c r="D7">
        <f>33.27775749</f>
        <v>33.277757489999999</v>
      </c>
      <c r="E7">
        <f>67.75791866</f>
        <v>67.757918660000001</v>
      </c>
      <c r="F7">
        <f>35.89473246</f>
        <v>35.89473246</v>
      </c>
      <c r="G7">
        <f>33.59309928</f>
        <v>33.593099279999997</v>
      </c>
      <c r="H7">
        <f>8.48845727</f>
        <v>8.4884572699999996</v>
      </c>
      <c r="I7">
        <f>42.08155655</f>
        <v>42.081556550000002</v>
      </c>
      <c r="J7">
        <f>156.47672</f>
        <v>156.47672</v>
      </c>
      <c r="K7">
        <f>5.3957134</f>
        <v>5.3957134</v>
      </c>
      <c r="L7">
        <f>7895.5912</f>
        <v>7895.5911999999998</v>
      </c>
    </row>
    <row r="8" spans="1:12" x14ac:dyDescent="0.25">
      <c r="A8">
        <f>0.66</f>
        <v>0.66</v>
      </c>
      <c r="B8">
        <f>37.40938024</f>
        <v>37.409380239999997</v>
      </c>
      <c r="C8">
        <f>35.08611365</f>
        <v>35.086113650000001</v>
      </c>
      <c r="D8">
        <f>33.14283175</f>
        <v>33.142831749999999</v>
      </c>
      <c r="E8">
        <f>68.2289454</f>
        <v>68.228945400000001</v>
      </c>
      <c r="F8">
        <f>36.44695911</f>
        <v>36.446959110000002</v>
      </c>
      <c r="G8">
        <f>34.18346258</f>
        <v>34.183462579999997</v>
      </c>
      <c r="H8">
        <f>8.486815964</f>
        <v>8.4868159639999998</v>
      </c>
      <c r="I8">
        <f>42.67027854</f>
        <v>42.670278539999998</v>
      </c>
      <c r="J8">
        <f>154.12323</f>
        <v>154.12323000000001</v>
      </c>
      <c r="K8">
        <f>5.4869208</f>
        <v>5.4869208</v>
      </c>
      <c r="L8">
        <f>7659.0067</f>
        <v>7659.0066999999999</v>
      </c>
    </row>
    <row r="9" spans="1:12" x14ac:dyDescent="0.25">
      <c r="A9">
        <f>0.67</f>
        <v>0.67</v>
      </c>
      <c r="B9">
        <f>37.97618903</f>
        <v>37.97618903</v>
      </c>
      <c r="C9">
        <f>35.6921124</f>
        <v>35.692112399999999</v>
      </c>
      <c r="D9">
        <f>33.00774808</f>
        <v>33.007748079999999</v>
      </c>
      <c r="E9">
        <f>68.69986048</f>
        <v>68.699860479999998</v>
      </c>
      <c r="F9">
        <f>36.99918576</f>
        <v>36.999185760000003</v>
      </c>
      <c r="G9">
        <f>34.77387096</f>
        <v>34.773870960000004</v>
      </c>
      <c r="H9">
        <f>8.485766145</f>
        <v>8.4857661449999995</v>
      </c>
      <c r="I9">
        <f>43.2596371</f>
        <v>43.259637099999999</v>
      </c>
      <c r="J9">
        <f>151.6193</f>
        <v>151.61930000000001</v>
      </c>
      <c r="K9">
        <f>5.5813782</f>
        <v>5.5813781999999996</v>
      </c>
      <c r="L9">
        <f>7422.1199</f>
        <v>7422.1198999999997</v>
      </c>
    </row>
    <row r="10" spans="1:12" x14ac:dyDescent="0.25">
      <c r="A10">
        <f>0.68</f>
        <v>0.68</v>
      </c>
      <c r="B10">
        <f>38.54299783</f>
        <v>38.542997829999997</v>
      </c>
      <c r="C10">
        <f>36.29816219</f>
        <v>36.298162189999999</v>
      </c>
      <c r="D10">
        <f>32.87249014</f>
        <v>32.872490139999996</v>
      </c>
      <c r="E10">
        <f>69.17065233</f>
        <v>69.170652329999996</v>
      </c>
      <c r="F10">
        <f>37.55141242</f>
        <v>37.551412419999998</v>
      </c>
      <c r="G10">
        <f>35.36432906</f>
        <v>35.364329060000003</v>
      </c>
      <c r="H10">
        <f>8.485337575</f>
        <v>8.4853375750000009</v>
      </c>
      <c r="I10">
        <f>43.84966664</f>
        <v>43.849666640000002</v>
      </c>
      <c r="J10">
        <f>148.96407</f>
        <v>148.96406999999999</v>
      </c>
      <c r="K10">
        <f>5.6792742</f>
        <v>5.6792742000000001</v>
      </c>
      <c r="L10">
        <f>7184.9027</f>
        <v>7184.9026999999996</v>
      </c>
    </row>
    <row r="11" spans="1:12" x14ac:dyDescent="0.25">
      <c r="A11">
        <f>0.69</f>
        <v>0.69</v>
      </c>
      <c r="B11">
        <f>39.10980662</f>
        <v>39.109806620000001</v>
      </c>
      <c r="C11">
        <f>36.90426847</f>
        <v>36.904268469999998</v>
      </c>
      <c r="D11">
        <f>32.73703918</f>
        <v>32.737039179999996</v>
      </c>
      <c r="E11">
        <f>69.64130766</f>
        <v>69.641307659999995</v>
      </c>
      <c r="F11">
        <f>38.10363907</f>
        <v>38.10363907</v>
      </c>
      <c r="G11">
        <f>35.95484222</f>
        <v>35.954842220000003</v>
      </c>
      <c r="H11">
        <f>8.485562305</f>
        <v>8.4855623050000002</v>
      </c>
      <c r="I11">
        <f>44.44040452</f>
        <v>44.440404520000001</v>
      </c>
      <c r="J11">
        <f>146.15656</f>
        <v>146.15656000000001</v>
      </c>
      <c r="K11">
        <f>5.7808143</f>
        <v>5.7808143000000003</v>
      </c>
      <c r="L11">
        <f>6947.323</f>
        <v>6947.3230000000003</v>
      </c>
    </row>
    <row r="12" spans="1:12" x14ac:dyDescent="0.25">
      <c r="A12">
        <f>0.7</f>
        <v>0.7</v>
      </c>
      <c r="B12">
        <f>39.67661541</f>
        <v>39.676615409999997</v>
      </c>
      <c r="C12">
        <f>37.51043755</f>
        <v>37.510437549999999</v>
      </c>
      <c r="D12">
        <f>32.60137364</f>
        <v>32.601373639999998</v>
      </c>
      <c r="E12">
        <f>70.11181119</f>
        <v>70.111811189999997</v>
      </c>
      <c r="F12">
        <f>38.65586572</f>
        <v>38.655865720000001</v>
      </c>
      <c r="G12">
        <f>36.54541654</f>
        <v>36.545416539999998</v>
      </c>
      <c r="H12">
        <f>8.486474939</f>
        <v>8.4864749390000007</v>
      </c>
      <c r="I12">
        <f>45.03189148</f>
        <v>45.031891479999999</v>
      </c>
      <c r="J12">
        <f>143.19567</f>
        <v>143.19567000000001</v>
      </c>
      <c r="K12">
        <f>5.8862225</f>
        <v>5.8862224999999997</v>
      </c>
      <c r="L12">
        <f>6709.3447</f>
        <v>6709.3446999999996</v>
      </c>
    </row>
    <row r="13" spans="1:12" x14ac:dyDescent="0.25">
      <c r="A13">
        <f>0.71</f>
        <v>0.71</v>
      </c>
      <c r="B13">
        <f>40.2434242</f>
        <v>40.2434242</v>
      </c>
      <c r="C13">
        <f>38.1166767</f>
        <v>38.116676699999999</v>
      </c>
      <c r="D13">
        <f>32.46546853</f>
        <v>32.465468530000003</v>
      </c>
      <c r="E13">
        <f>70.58214523</f>
        <v>70.582145229999995</v>
      </c>
      <c r="F13">
        <f>39.20809238</f>
        <v>39.208092379999997</v>
      </c>
      <c r="G13">
        <f>37.13605914</f>
        <v>37.13605914</v>
      </c>
      <c r="H13">
        <f>8.488112957</f>
        <v>8.4881129570000002</v>
      </c>
      <c r="I13">
        <f>45.62417209</f>
        <v>45.624172090000002</v>
      </c>
      <c r="J13">
        <f>140.08013</f>
        <v>140.08013</v>
      </c>
      <c r="K13">
        <f>5.9957445</f>
        <v>5.9957444999999998</v>
      </c>
      <c r="L13">
        <f>6470.9262</f>
        <v>6470.9261999999999</v>
      </c>
    </row>
    <row r="14" spans="1:12" x14ac:dyDescent="0.25">
      <c r="A14">
        <f>0.72</f>
        <v>0.72</v>
      </c>
      <c r="B14">
        <f>40.81023299</f>
        <v>40.810232990000003</v>
      </c>
      <c r="C14">
        <f>38.72299439</f>
        <v>38.722994389999997</v>
      </c>
      <c r="D14">
        <f>32.32929476</f>
        <v>32.329294760000003</v>
      </c>
      <c r="E14">
        <f>71.05228915</f>
        <v>71.052289149999993</v>
      </c>
      <c r="F14">
        <f>39.76031903</f>
        <v>39.760319029999998</v>
      </c>
      <c r="G14">
        <f>37.72677825</f>
        <v>37.726778250000002</v>
      </c>
      <c r="H14">
        <f>8.490517091</f>
        <v>8.4905170909999992</v>
      </c>
      <c r="I14">
        <f>46.21729534</f>
        <v>46.21729534</v>
      </c>
      <c r="J14">
        <f>136.80849</f>
        <v>136.80849000000001</v>
      </c>
      <c r="K14">
        <f>6.1096501</f>
        <v>6.1096500999999996</v>
      </c>
      <c r="L14">
        <f>6232.0197</f>
        <v>6232.0196999999998</v>
      </c>
    </row>
    <row r="15" spans="1:12" x14ac:dyDescent="0.25">
      <c r="A15">
        <f>0.73</f>
        <v>0.73</v>
      </c>
      <c r="B15">
        <f>41.37704178</f>
        <v>41.377041779999999</v>
      </c>
      <c r="C15">
        <f>39.32940056</f>
        <v>39.329400560000003</v>
      </c>
      <c r="D15">
        <f>32.19281819</f>
        <v>32.192818189999997</v>
      </c>
      <c r="E15">
        <f>71.52221874</f>
        <v>71.52221874</v>
      </c>
      <c r="F15">
        <f>40.31254568</f>
        <v>40.312545679999999</v>
      </c>
      <c r="G15">
        <f>38.31758357</f>
        <v>38.317583569999996</v>
      </c>
      <c r="H15">
        <f>8.493731772</f>
        <v>8.4937317720000003</v>
      </c>
      <c r="I15">
        <f>46.81131535</f>
        <v>46.811315350000001</v>
      </c>
      <c r="J15">
        <f>133.37907</f>
        <v>133.37907000000001</v>
      </c>
      <c r="K15">
        <f>6.2282376</f>
        <v>6.2282375999999999</v>
      </c>
      <c r="L15">
        <f>5992.5699</f>
        <v>5992.5699000000004</v>
      </c>
    </row>
    <row r="16" spans="1:12" x14ac:dyDescent="0.25">
      <c r="A16">
        <f>0.74</f>
        <v>0.74</v>
      </c>
      <c r="B16">
        <f>41.94385058</f>
        <v>41.943850580000003</v>
      </c>
      <c r="C16">
        <f>39.93590694</f>
        <v>39.935906940000002</v>
      </c>
      <c r="D16">
        <f>32.05599856</f>
        <v>32.055998559999999</v>
      </c>
      <c r="E16">
        <f>71.99190551</f>
        <v>71.991905509999995</v>
      </c>
      <c r="F16">
        <f>40.86477234</f>
        <v>40.864772340000002</v>
      </c>
      <c r="G16">
        <f>38.90848653</f>
        <v>38.908486529999998</v>
      </c>
      <c r="H16">
        <f>8.497805727</f>
        <v>8.4978057269999994</v>
      </c>
      <c r="I16">
        <f>47.40629226</f>
        <v>47.406292260000001</v>
      </c>
      <c r="J16">
        <f>129.78993</f>
        <v>129.78993</v>
      </c>
      <c r="K16">
        <f>6.3518379</f>
        <v>6.3518378999999996</v>
      </c>
      <c r="L16">
        <f>5752.5123</f>
        <v>5752.5123000000003</v>
      </c>
    </row>
    <row r="17" spans="1:12" x14ac:dyDescent="0.25">
      <c r="A17">
        <f>0.75</f>
        <v>0.75</v>
      </c>
      <c r="B17">
        <f>42.51065937</f>
        <v>42.510659369999999</v>
      </c>
      <c r="C17">
        <f>40.5425275</f>
        <v>40.542527499999998</v>
      </c>
      <c r="D17">
        <f>31.9187879</f>
        <v>31.918787900000002</v>
      </c>
      <c r="E17">
        <f>72.46131541</f>
        <v>72.461315409999997</v>
      </c>
      <c r="F17">
        <f>41.41699899</f>
        <v>41.416998990000003</v>
      </c>
      <c r="G17">
        <f>39.49950073</f>
        <v>39.499500730000001</v>
      </c>
      <c r="H17">
        <f>8.502792611</f>
        <v>8.5027926110000003</v>
      </c>
      <c r="I17">
        <f>48.00229334</f>
        <v>48.002293340000001</v>
      </c>
      <c r="J17">
        <f>126.03877</f>
        <v>126.03877</v>
      </c>
      <c r="K17">
        <f>6.4808206</f>
        <v>6.4808206000000004</v>
      </c>
      <c r="L17">
        <f>5511.7711</f>
        <v>5511.7710999999999</v>
      </c>
    </row>
    <row r="18" spans="1:12" x14ac:dyDescent="0.25">
      <c r="A18">
        <f>0.76</f>
        <v>0.76</v>
      </c>
      <c r="B18">
        <f>43.07746816</f>
        <v>43.077468160000002</v>
      </c>
      <c r="C18">
        <f>41.14927901</f>
        <v>41.149279010000001</v>
      </c>
      <c r="D18">
        <f>31.78112858</f>
        <v>31.781128580000001</v>
      </c>
      <c r="E18">
        <f>72.9304076</f>
        <v>72.930407599999995</v>
      </c>
      <c r="F18">
        <f>41.96922564</f>
        <v>41.969225639999998</v>
      </c>
      <c r="G18">
        <f>40.0906425</f>
        <v>40.090642500000001</v>
      </c>
      <c r="H18">
        <f>8.508751905</f>
        <v>8.5087519050000004</v>
      </c>
      <c r="I18">
        <f>48.59939441</f>
        <v>48.599394410000002</v>
      </c>
      <c r="J18">
        <f>122.1229</f>
        <v>122.1229</v>
      </c>
      <c r="K18">
        <f>6.6156013</f>
        <v>6.6156012999999998</v>
      </c>
      <c r="L18">
        <f>5270.2569</f>
        <v>5270.2569000000003</v>
      </c>
    </row>
    <row r="19" spans="1:12" x14ac:dyDescent="0.25">
      <c r="A19">
        <f>0.77</f>
        <v>0.77</v>
      </c>
      <c r="B19">
        <f>43.64427695</f>
        <v>43.644276949999998</v>
      </c>
      <c r="C19">
        <f>41.7561818</f>
        <v>41.7561818</v>
      </c>
      <c r="D19">
        <f>31.64295072</f>
        <v>31.642950720000002</v>
      </c>
      <c r="E19">
        <f>73.39913253</f>
        <v>73.399132530000003</v>
      </c>
      <c r="F19">
        <f>42.52145229</f>
        <v>42.521452289999999</v>
      </c>
      <c r="G19">
        <f>40.68193167</f>
        <v>40.681931669999997</v>
      </c>
      <c r="H19">
        <f>8.515750016</f>
        <v>8.5157500160000001</v>
      </c>
      <c r="I19">
        <f>49.19768168</f>
        <v>49.197681680000002</v>
      </c>
      <c r="J19">
        <f>118.03909</f>
        <v>118.03909</v>
      </c>
      <c r="K19">
        <f>6.7566506</f>
        <v>6.7566506000000004</v>
      </c>
      <c r="L19">
        <f>5027.8627</f>
        <v>5027.8626999999997</v>
      </c>
    </row>
    <row r="20" spans="1:12" x14ac:dyDescent="0.25">
      <c r="A20">
        <f>0.78</f>
        <v>0.78</v>
      </c>
      <c r="B20">
        <f>44.21108574</f>
        <v>44.211085740000001</v>
      </c>
      <c r="C20">
        <f>42.36326081</f>
        <v>42.36326081</v>
      </c>
      <c r="D20">
        <f>31.50416862</f>
        <v>31.504168620000002</v>
      </c>
      <c r="E20">
        <f>73.86742942</f>
        <v>73.867429419999993</v>
      </c>
      <c r="F20">
        <f>43.07367895</f>
        <v>43.073678950000001</v>
      </c>
      <c r="G20">
        <f>41.27339251</f>
        <v>41.273392510000001</v>
      </c>
      <c r="H20">
        <f>8.523861712</f>
        <v>8.5238617120000004</v>
      </c>
      <c r="I20">
        <f>49.79725422</f>
        <v>49.797254219999999</v>
      </c>
      <c r="J20">
        <f>113.78348</f>
        <v>113.78348</v>
      </c>
      <c r="K20">
        <f>6.9045066</f>
        <v>6.9045066000000004</v>
      </c>
      <c r="L20">
        <f>4784.4593</f>
        <v>4784.4593000000004</v>
      </c>
    </row>
    <row r="21" spans="1:12" x14ac:dyDescent="0.25">
      <c r="A21">
        <f>0.79</f>
        <v>0.79</v>
      </c>
      <c r="B21">
        <f>44.77789453</f>
        <v>44.777894529999998</v>
      </c>
      <c r="C21">
        <f>42.97054697</f>
        <v>42.970546970000001</v>
      </c>
      <c r="D21">
        <f>31.36467584</f>
        <v>31.36467584</v>
      </c>
      <c r="E21">
        <f>74.33522281</f>
        <v>74.335222810000005</v>
      </c>
      <c r="F21">
        <f>43.6259056</f>
        <v>43.625905600000003</v>
      </c>
      <c r="G21">
        <f>41.86505519</f>
        <v>41.86505519</v>
      </c>
      <c r="H21">
        <f>8.533172039</f>
        <v>8.5331720390000001</v>
      </c>
      <c r="I21">
        <f>50.39822723</f>
        <v>50.398227230000003</v>
      </c>
      <c r="J21">
        <f>109.35133</f>
        <v>109.35133</v>
      </c>
      <c r="K21">
        <f>7.0597909</f>
        <v>7.0597909000000003</v>
      </c>
      <c r="L21">
        <f>4539.8893</f>
        <v>4539.8892999999998</v>
      </c>
    </row>
    <row r="22" spans="1:12" x14ac:dyDescent="0.25">
      <c r="A22">
        <f>0.8</f>
        <v>0.8</v>
      </c>
      <c r="B22">
        <f>45.34470332</f>
        <v>45.344703320000001</v>
      </c>
      <c r="C22">
        <f>43.57807928</f>
        <v>43.578079279999997</v>
      </c>
      <c r="D22">
        <f>31.22433835</f>
        <v>31.22433835</v>
      </c>
      <c r="E22">
        <f>74.80241763</f>
        <v>74.802417629999994</v>
      </c>
      <c r="F22">
        <f>44.17813225</f>
        <v>44.178132249999997</v>
      </c>
      <c r="G22">
        <f>42.45695768</f>
        <v>42.456957680000002</v>
      </c>
      <c r="H22">
        <f>8.543778931</f>
        <v>8.5437789310000003</v>
      </c>
      <c r="I22">
        <f>51.00073661</f>
        <v>51.000736609999997</v>
      </c>
      <c r="J22">
        <f>104.73685</f>
        <v>104.73685</v>
      </c>
      <c r="K22">
        <f>7.2232313</f>
        <v>7.2232313000000001</v>
      </c>
      <c r="L22">
        <f>4293.9581</f>
        <v>4293.9580999999998</v>
      </c>
    </row>
    <row r="23" spans="1:12" x14ac:dyDescent="0.25">
      <c r="A23">
        <f>0.81</f>
        <v>0.81</v>
      </c>
      <c r="B23">
        <f>45.91151212</f>
        <v>45.911512119999998</v>
      </c>
      <c r="C23">
        <f>44.18590763</f>
        <v>44.185907630000003</v>
      </c>
      <c r="D23">
        <f>31.0829845</f>
        <v>31.082984499999998</v>
      </c>
      <c r="E23">
        <f>75.26889213</f>
        <v>75.268892129999998</v>
      </c>
      <c r="F23">
        <f>44.73035891</f>
        <v>44.73035891</v>
      </c>
      <c r="G23">
        <f>43.04914859</f>
        <v>43.049148590000001</v>
      </c>
      <c r="H23">
        <f>8.555796871</f>
        <v>8.5557968710000001</v>
      </c>
      <c r="I23">
        <f>51.60494546</f>
        <v>51.604945460000003</v>
      </c>
      <c r="J23">
        <f>99.93275</f>
        <v>99.932749999999999</v>
      </c>
      <c r="K23">
        <f>7.3956928</f>
        <v>7.3956928</v>
      </c>
      <c r="L23">
        <f>4046.4212</f>
        <v>4046.4212000000002</v>
      </c>
    </row>
    <row r="24" spans="1:12" x14ac:dyDescent="0.25">
      <c r="A24">
        <f>0.82</f>
        <v>0.82</v>
      </c>
      <c r="B24">
        <f>46.47832091</f>
        <v>46.478320910000001</v>
      </c>
      <c r="C24">
        <f>44.79409713</f>
        <v>44.794097129999997</v>
      </c>
      <c r="D24">
        <f>30.94039032</f>
        <v>30.940390319999999</v>
      </c>
      <c r="E24">
        <f>75.73448745</f>
        <v>75.734487450000003</v>
      </c>
      <c r="F24">
        <f>45.28258556</f>
        <v>45.282585560000001</v>
      </c>
      <c r="G24">
        <f>43.64169136</f>
        <v>43.641691360000003</v>
      </c>
      <c r="H24">
        <f>8.569362191</f>
        <v>8.5693621909999997</v>
      </c>
      <c r="I24">
        <f>52.21105355</f>
        <v>52.211053550000003</v>
      </c>
      <c r="J24">
        <f>94.929752</f>
        <v>94.929751999999993</v>
      </c>
      <c r="K24">
        <f>7.5782231</f>
        <v>7.5782230999999998</v>
      </c>
      <c r="L24">
        <f>3796.9665</f>
        <v>3796.9665</v>
      </c>
    </row>
    <row r="25" spans="1:12" x14ac:dyDescent="0.25">
      <c r="A25">
        <f>0.83</f>
        <v>0.83</v>
      </c>
      <c r="B25">
        <f>47.0451297</f>
        <v>47.045129699999997</v>
      </c>
      <c r="C25">
        <f>45.40273226</f>
        <v>45.402732260000001</v>
      </c>
      <c r="D25">
        <f>30.79626515</f>
        <v>30.79626515</v>
      </c>
      <c r="E25">
        <f>76.1989974</f>
        <v>76.198997399999996</v>
      </c>
      <c r="F25">
        <f>45.83481221</f>
        <v>45.834812210000003</v>
      </c>
      <c r="G25">
        <f>44.23466829</f>
        <v>44.234668290000002</v>
      </c>
      <c r="H25">
        <f>8.584640094</f>
        <v>8.5846400939999992</v>
      </c>
      <c r="I25">
        <f>52.81930839</f>
        <v>52.819308390000003</v>
      </c>
      <c r="J25">
        <f>89.720025</f>
        <v>89.720025000000007</v>
      </c>
      <c r="K25">
        <f>7.7721093</f>
        <v>7.7721093000000003</v>
      </c>
      <c r="L25">
        <f>3545.3537</f>
        <v>3545.3537000000001</v>
      </c>
    </row>
    <row r="26" spans="1:12" x14ac:dyDescent="0.25">
      <c r="A26">
        <f>0.84</f>
        <v>0.84</v>
      </c>
      <c r="B26">
        <f>47.61193849</f>
        <v>47.61193849</v>
      </c>
      <c r="C26">
        <f>46.01193694</f>
        <v>46.011936939999998</v>
      </c>
      <c r="D26">
        <f>30.65018247</f>
        <v>30.650182470000001</v>
      </c>
      <c r="E26">
        <f>76.6621194</f>
        <v>76.662119399999995</v>
      </c>
      <c r="F26">
        <f>46.38703887</f>
        <v>46.387038869999998</v>
      </c>
      <c r="G26">
        <f>44.82820013</f>
        <v>44.828200129999999</v>
      </c>
      <c r="H26">
        <f>8.601840701</f>
        <v>8.6018407010000004</v>
      </c>
      <c r="I26">
        <f>53.43004083</f>
        <v>53.430040830000003</v>
      </c>
      <c r="J26">
        <f>84.278573</f>
        <v>84.278572999999994</v>
      </c>
      <c r="K26">
        <f>7.9790298</f>
        <v>7.9790298000000002</v>
      </c>
      <c r="L26">
        <f>3290.6839</f>
        <v>3290.6839</v>
      </c>
    </row>
    <row r="27" spans="1:12" x14ac:dyDescent="0.25">
      <c r="A27">
        <f>0.85</f>
        <v>0.85</v>
      </c>
      <c r="B27">
        <f>48.17874728</f>
        <v>48.178747280000003</v>
      </c>
      <c r="C27">
        <f>46.62187775</f>
        <v>46.621877750000003</v>
      </c>
      <c r="D27">
        <f>30.50156899</f>
        <v>30.501568989999999</v>
      </c>
      <c r="E27">
        <f>77.12344674</f>
        <v>77.123446740000006</v>
      </c>
      <c r="F27">
        <f>46.93926552</f>
        <v>46.939265519999999</v>
      </c>
      <c r="G27">
        <f>45.42244915</f>
        <v>45.422449149999998</v>
      </c>
      <c r="H27">
        <f>8.621234386</f>
        <v>8.6212343859999994</v>
      </c>
      <c r="I27">
        <f>54.04368354</f>
        <v>54.043683540000004</v>
      </c>
      <c r="J27">
        <f>78.588</f>
        <v>78.587999999999994</v>
      </c>
      <c r="K27">
        <f>8.2011643</f>
        <v>8.2011643000000003</v>
      </c>
      <c r="L27">
        <f>3032.3937</f>
        <v>3032.3937000000001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opLeftCell="A13" workbookViewId="0">
      <selection activeCell="K23" sqref="K23"/>
    </sheetView>
  </sheetViews>
  <sheetFormatPr defaultRowHeight="15" x14ac:dyDescent="0.25"/>
  <sheetData>
    <row r="1" spans="1:12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</row>
    <row r="2" spans="1:12" x14ac:dyDescent="0.25">
      <c r="A2">
        <f>0.6</f>
        <v>0.6</v>
      </c>
      <c r="B2">
        <f>34.46810219</f>
        <v>34.468102190000003</v>
      </c>
      <c r="C2">
        <f>31.87525801</f>
        <v>31.87525801</v>
      </c>
      <c r="D2">
        <f>33.04630281</f>
        <v>33.04630281</v>
      </c>
      <c r="E2">
        <f>64.92156082</f>
        <v>64.921560819999996</v>
      </c>
      <c r="F2">
        <f>33.58135053</f>
        <v>33.581350530000002</v>
      </c>
      <c r="G2">
        <f>31.05521176</f>
        <v>31.055211759999999</v>
      </c>
      <c r="H2">
        <f>8.174917753</f>
        <v>8.1749177530000008</v>
      </c>
      <c r="I2">
        <f>39.23012951</f>
        <v>39.230129509999998</v>
      </c>
      <c r="J2">
        <f>165.51551</f>
        <v>165.51551000000001</v>
      </c>
      <c r="K2">
        <f>4.9811907</f>
        <v>4.9811907</v>
      </c>
      <c r="L2">
        <f>9047.6487</f>
        <v>9047.6486999999997</v>
      </c>
    </row>
    <row r="3" spans="1:12" x14ac:dyDescent="0.25">
      <c r="A3">
        <f>0.61</f>
        <v>0.61</v>
      </c>
      <c r="B3">
        <f>35.04257056</f>
        <v>35.042570560000001</v>
      </c>
      <c r="C3">
        <f>32.48922265</f>
        <v>32.489222650000002</v>
      </c>
      <c r="D3">
        <f>32.91015389</f>
        <v>32.910153889999997</v>
      </c>
      <c r="E3">
        <f>65.39937653</f>
        <v>65.399376529999998</v>
      </c>
      <c r="F3">
        <f>34.14103971</f>
        <v>34.141039710000001</v>
      </c>
      <c r="G3">
        <f>31.65338109</f>
        <v>31.65338109</v>
      </c>
      <c r="H3">
        <f>8.169005293</f>
        <v>8.1690052929999997</v>
      </c>
      <c r="I3">
        <f>39.82238639</f>
        <v>39.822386389999998</v>
      </c>
      <c r="J3">
        <f>163.89448</f>
        <v>163.89447999999999</v>
      </c>
      <c r="K3">
        <f>5.0584711</f>
        <v>5.0584711000000002</v>
      </c>
      <c r="L3">
        <f>8812.1681</f>
        <v>8812.1681000000008</v>
      </c>
    </row>
    <row r="4" spans="1:12" x14ac:dyDescent="0.25">
      <c r="A4">
        <f>0.62</f>
        <v>0.62</v>
      </c>
      <c r="B4">
        <f>35.61703893</f>
        <v>35.61703893</v>
      </c>
      <c r="C4">
        <f>33.10321764</f>
        <v>33.103217639999997</v>
      </c>
      <c r="D4">
        <f>32.77390153</f>
        <v>32.773901530000003</v>
      </c>
      <c r="E4">
        <f>65.87711917</f>
        <v>65.87711917</v>
      </c>
      <c r="F4">
        <f>34.70072888</f>
        <v>34.70072888</v>
      </c>
      <c r="G4">
        <f>32.25158</f>
        <v>32.251579999999997</v>
      </c>
      <c r="H4">
        <f>8.163523695</f>
        <v>8.1635236950000003</v>
      </c>
      <c r="I4">
        <f>40.4151037</f>
        <v>40.415103700000003</v>
      </c>
      <c r="J4">
        <f>162.12594</f>
        <v>162.12594000000001</v>
      </c>
      <c r="K4">
        <f>5.1382496</f>
        <v>5.1382496</v>
      </c>
      <c r="L4">
        <f>8576.4805</f>
        <v>8576.4804999999997</v>
      </c>
    </row>
    <row r="5" spans="1:12" x14ac:dyDescent="0.25">
      <c r="A5">
        <f>0.63</f>
        <v>0.63</v>
      </c>
      <c r="B5">
        <f>36.1915073</f>
        <v>36.191507299999998</v>
      </c>
      <c r="C5">
        <f>33.71724565</f>
        <v>33.717245650000002</v>
      </c>
      <c r="D5">
        <f>32.63753663</f>
        <v>32.63753663</v>
      </c>
      <c r="E5">
        <f>66.35478228</f>
        <v>66.354782279999995</v>
      </c>
      <c r="F5">
        <f>35.26041806</f>
        <v>35.260418059999999</v>
      </c>
      <c r="G5">
        <f>32.84981108</f>
        <v>32.849811080000002</v>
      </c>
      <c r="H5">
        <f>8.158492458</f>
        <v>8.1584924579999996</v>
      </c>
      <c r="I5">
        <f>41.00830354</f>
        <v>41.00830354</v>
      </c>
      <c r="J5">
        <f>160.20939</f>
        <v>160.20939000000001</v>
      </c>
      <c r="K5">
        <f>5.2206546</f>
        <v>5.2206545999999996</v>
      </c>
      <c r="L5">
        <f>8340.5694</f>
        <v>8340.5694000000003</v>
      </c>
    </row>
    <row r="6" spans="1:12" x14ac:dyDescent="0.25">
      <c r="A6">
        <f>0.64</f>
        <v>0.64</v>
      </c>
      <c r="B6">
        <f>36.76597567</f>
        <v>36.765975670000003</v>
      </c>
      <c r="C6">
        <f>34.33130966</f>
        <v>34.331309660000002</v>
      </c>
      <c r="D6">
        <f>32.50104896</f>
        <v>32.501048959999999</v>
      </c>
      <c r="E6">
        <f>66.83235861</f>
        <v>66.83235861</v>
      </c>
      <c r="F6">
        <f>35.82010723</f>
        <v>35.820107229999998</v>
      </c>
      <c r="G6">
        <f>33.44807722</f>
        <v>33.448077220000002</v>
      </c>
      <c r="H6">
        <f>8.153932367</f>
        <v>8.1539323669999995</v>
      </c>
      <c r="I6">
        <f>41.60200959</f>
        <v>41.602009590000002</v>
      </c>
      <c r="J6">
        <f>158.14427</f>
        <v>158.14427000000001</v>
      </c>
      <c r="K6">
        <f>5.3058245</f>
        <v>5.3058244999999999</v>
      </c>
      <c r="L6">
        <f>8104.4165</f>
        <v>8104.4165000000003</v>
      </c>
    </row>
    <row r="7" spans="1:12" x14ac:dyDescent="0.25">
      <c r="A7">
        <f>0.65</f>
        <v>0.65</v>
      </c>
      <c r="B7">
        <f>37.34044404</f>
        <v>37.340444040000001</v>
      </c>
      <c r="C7">
        <f>34.94541302</f>
        <v>34.945413019999997</v>
      </c>
      <c r="D7">
        <f>32.364427</f>
        <v>32.364426999999999</v>
      </c>
      <c r="E7">
        <f>67.30984002</f>
        <v>67.309840019999996</v>
      </c>
      <c r="F7">
        <f>36.37979641</f>
        <v>36.379796409999997</v>
      </c>
      <c r="G7">
        <f>34.04638172</f>
        <v>34.046381719999999</v>
      </c>
      <c r="H7">
        <f>8.149865611</f>
        <v>8.1498656109999992</v>
      </c>
      <c r="I7">
        <f>42.19624733</f>
        <v>42.196247329999998</v>
      </c>
      <c r="J7">
        <f>155.92994</f>
        <v>155.92993999999999</v>
      </c>
      <c r="K7">
        <f>5.3939084</f>
        <v>5.3939083999999999</v>
      </c>
      <c r="L7">
        <f>7868.0013</f>
        <v>7868.0012999999999</v>
      </c>
    </row>
    <row r="8" spans="1:12" x14ac:dyDescent="0.25">
      <c r="A8">
        <f>0.66</f>
        <v>0.66</v>
      </c>
      <c r="B8">
        <f>37.91491241</f>
        <v>37.914912409999999</v>
      </c>
      <c r="C8">
        <f>35.55955955</f>
        <v>35.559559550000003</v>
      </c>
      <c r="D8">
        <f>32.22765772</f>
        <v>32.227657720000003</v>
      </c>
      <c r="E8">
        <f>67.78721727</f>
        <v>67.787217269999999</v>
      </c>
      <c r="F8">
        <f>36.93948558</f>
        <v>36.939485580000003</v>
      </c>
      <c r="G8">
        <f>34.64472826</f>
        <v>34.644728260000001</v>
      </c>
      <c r="H8">
        <f>8.146315929</f>
        <v>8.146315929</v>
      </c>
      <c r="I8">
        <f>42.79104419</f>
        <v>42.791044190000001</v>
      </c>
      <c r="J8">
        <f>153.56571</f>
        <v>153.56571</v>
      </c>
      <c r="K8">
        <f>5.4850672</f>
        <v>5.4850671999999996</v>
      </c>
      <c r="L8">
        <f>7631.3009</f>
        <v>7631.3009000000002</v>
      </c>
    </row>
    <row r="9" spans="1:12" x14ac:dyDescent="0.25">
      <c r="A9">
        <f>0.67</f>
        <v>0.67</v>
      </c>
      <c r="B9">
        <f>38.48938078</f>
        <v>38.489380779999998</v>
      </c>
      <c r="C9">
        <f>36.17375356</f>
        <v>36.173753560000002</v>
      </c>
      <c r="D9">
        <f>32.09072633</f>
        <v>32.090726330000003</v>
      </c>
      <c r="E9">
        <f>68.26447989</f>
        <v>68.264479890000004</v>
      </c>
      <c r="F9">
        <f>37.49917476</f>
        <v>37.499174760000002</v>
      </c>
      <c r="G9">
        <f>35.24312106</f>
        <v>35.24312106</v>
      </c>
      <c r="H9">
        <f>8.143308758</f>
        <v>8.1433087579999999</v>
      </c>
      <c r="I9">
        <f>43.38642982</f>
        <v>43.386429819999996</v>
      </c>
      <c r="J9">
        <f>151.05078</f>
        <v>151.05078</v>
      </c>
      <c r="K9">
        <f>5.5794749</f>
        <v>5.5794749000000001</v>
      </c>
      <c r="L9">
        <f>7394.2894</f>
        <v>7394.2893999999997</v>
      </c>
    </row>
    <row r="10" spans="1:12" x14ac:dyDescent="0.25">
      <c r="A10">
        <f>0.68</f>
        <v>0.68</v>
      </c>
      <c r="B10">
        <f>39.06384915</f>
        <v>39.063849150000003</v>
      </c>
      <c r="C10">
        <f>36.78799996</f>
        <v>36.78799996</v>
      </c>
      <c r="D10">
        <f>31.95361596</f>
        <v>31.95361596</v>
      </c>
      <c r="E10">
        <f>68.74161592</f>
        <v>68.741615920000001</v>
      </c>
      <c r="F10">
        <f>38.05886394</f>
        <v>38.058863940000002</v>
      </c>
      <c r="G10">
        <f>35.84156491</f>
        <v>35.841564910000002</v>
      </c>
      <c r="H10">
        <f>8.140871423</f>
        <v>8.1408714230000001</v>
      </c>
      <c r="I10">
        <f>43.98243634</f>
        <v>43.98243634</v>
      </c>
      <c r="J10">
        <f>148.38427</f>
        <v>148.38426999999999</v>
      </c>
      <c r="K10">
        <f>5.6773205</f>
        <v>5.6773205000000004</v>
      </c>
      <c r="L10">
        <f>7156.9377</f>
        <v>7156.9377000000004</v>
      </c>
    </row>
    <row r="11" spans="1:12" x14ac:dyDescent="0.25">
      <c r="A11">
        <f>0.69</f>
        <v>0.69</v>
      </c>
      <c r="B11">
        <f>39.63831752</f>
        <v>39.638317520000001</v>
      </c>
      <c r="C11">
        <f>37.40230441</f>
        <v>37.402304409999999</v>
      </c>
      <c r="D11">
        <f>31.81630723</f>
        <v>31.81630723</v>
      </c>
      <c r="E11">
        <f>69.21861164</f>
        <v>69.218611640000006</v>
      </c>
      <c r="F11">
        <f>38.61855311</f>
        <v>38.618553110000001</v>
      </c>
      <c r="G11">
        <f>36.44006531</f>
        <v>36.440065310000001</v>
      </c>
      <c r="H11">
        <f>8.139033343</f>
        <v>8.1390333429999995</v>
      </c>
      <c r="I11">
        <f>44.57909866</f>
        <v>44.57909866</v>
      </c>
      <c r="J11">
        <f>145.56518</f>
        <v>145.56518</v>
      </c>
      <c r="K11">
        <f>5.7788096</f>
        <v>5.7788095999999998</v>
      </c>
      <c r="L11">
        <f>6919.2127</f>
        <v>6919.2127</v>
      </c>
    </row>
    <row r="12" spans="1:12" x14ac:dyDescent="0.25">
      <c r="A12">
        <f>0.7</f>
        <v>0.7</v>
      </c>
      <c r="B12">
        <f>40.21278589</f>
        <v>40.212785889999999</v>
      </c>
      <c r="C12">
        <f>38.01667339</f>
        <v>38.016673390000001</v>
      </c>
      <c r="D12">
        <f>31.67877786</f>
        <v>31.67877786</v>
      </c>
      <c r="E12">
        <f>69.69545126</f>
        <v>69.695451259999999</v>
      </c>
      <c r="F12">
        <f>39.17824229</f>
        <v>39.17824229</v>
      </c>
      <c r="G12">
        <f>37.03862859</f>
        <v>37.038628590000002</v>
      </c>
      <c r="H12">
        <f>8.137826278</f>
        <v>8.1378262780000004</v>
      </c>
      <c r="I12">
        <f>45.17645487</f>
        <v>45.176454870000001</v>
      </c>
      <c r="J12">
        <f>142.59235</f>
        <v>142.59235000000001</v>
      </c>
      <c r="K12">
        <f>5.8841668</f>
        <v>5.8841668</v>
      </c>
      <c r="L12">
        <f>6681.0767</f>
        <v>6681.0766999999996</v>
      </c>
    </row>
    <row r="13" spans="1:12" x14ac:dyDescent="0.25">
      <c r="A13">
        <f>0.71</f>
        <v>0.71</v>
      </c>
      <c r="B13">
        <f>40.78725426</f>
        <v>40.787254259999997</v>
      </c>
      <c r="C13">
        <f>38.63111444</f>
        <v>38.631114439999998</v>
      </c>
      <c r="D13">
        <f>31.54100201</f>
        <v>31.54100201</v>
      </c>
      <c r="E13">
        <f>70.17211645</f>
        <v>70.172116450000004</v>
      </c>
      <c r="F13">
        <f>39.73793146</f>
        <v>39.737931459999999</v>
      </c>
      <c r="G13">
        <f>37.63726208</f>
        <v>37.637262079999999</v>
      </c>
      <c r="H13">
        <f>8.13728462</f>
        <v>8.1372846200000009</v>
      </c>
      <c r="I13">
        <f>45.7745467</f>
        <v>45.774546700000002</v>
      </c>
      <c r="J13">
        <f>139.46447</f>
        <v>139.46447000000001</v>
      </c>
      <c r="K13">
        <f>5.993638</f>
        <v>5.9936379999999998</v>
      </c>
      <c r="L13">
        <f>6442.4865</f>
        <v>6442.4865</v>
      </c>
    </row>
    <row r="14" spans="1:12" x14ac:dyDescent="0.25">
      <c r="A14">
        <f>0.72</f>
        <v>0.72</v>
      </c>
      <c r="B14">
        <f>41.36172263</f>
        <v>41.361722630000003</v>
      </c>
      <c r="C14">
        <f>39.24563634</f>
        <v>39.245636339999997</v>
      </c>
      <c r="D14">
        <f>31.40294953</f>
        <v>31.402949530000001</v>
      </c>
      <c r="E14">
        <f>70.64858587</f>
        <v>70.648585870000005</v>
      </c>
      <c r="F14">
        <f>40.29762064</f>
        <v>40.297620639999998</v>
      </c>
      <c r="G14">
        <f>38.23597434</f>
        <v>38.235974339999999</v>
      </c>
      <c r="H14">
        <f>8.137445742</f>
        <v>8.1374457420000006</v>
      </c>
      <c r="I14">
        <f>46.37342008</f>
        <v>46.373420080000002</v>
      </c>
      <c r="J14">
        <f>136.18005</f>
        <v>136.18004999999999</v>
      </c>
      <c r="K14">
        <f>6.1074939</f>
        <v>6.1074938999999997</v>
      </c>
      <c r="L14">
        <f>6203.3925</f>
        <v>6203.3924999999999</v>
      </c>
    </row>
    <row r="15" spans="1:12" x14ac:dyDescent="0.25">
      <c r="A15">
        <f>0.73</f>
        <v>0.73</v>
      </c>
      <c r="B15">
        <f>41.936191</f>
        <v>41.936191000000001</v>
      </c>
      <c r="C15">
        <f>39.86024939</f>
        <v>39.86024939</v>
      </c>
      <c r="D15">
        <f>31.26458503</f>
        <v>31.264585029999999</v>
      </c>
      <c r="E15">
        <f>71.12483442</f>
        <v>71.124834419999999</v>
      </c>
      <c r="F15">
        <f>40.85730981</f>
        <v>40.857309809999997</v>
      </c>
      <c r="G15">
        <f>38.8347754</f>
        <v>38.834775399999998</v>
      </c>
      <c r="H15">
        <f>8.138350395</f>
        <v>8.1383503949999998</v>
      </c>
      <c r="I15">
        <f>46.9731258</f>
        <v>46.973125799999998</v>
      </c>
      <c r="J15">
        <f>132.73732</f>
        <v>132.73732000000001</v>
      </c>
      <c r="K15">
        <f>6.2260336</f>
        <v>6.2260336000000001</v>
      </c>
      <c r="L15">
        <f>5963.7368</f>
        <v>5963.7367999999997</v>
      </c>
    </row>
    <row r="16" spans="1:12" x14ac:dyDescent="0.25">
      <c r="A16">
        <f>0.74</f>
        <v>0.74</v>
      </c>
      <c r="B16">
        <f>42.51065937</f>
        <v>42.510659369999999</v>
      </c>
      <c r="C16">
        <f>40.47496576</f>
        <v>40.474965760000003</v>
      </c>
      <c r="D16">
        <f>31.12586672</f>
        <v>31.125866720000001</v>
      </c>
      <c r="E16">
        <f>71.60083248</f>
        <v>71.600832479999994</v>
      </c>
      <c r="F16">
        <f>41.41699899</f>
        <v>41.416998990000003</v>
      </c>
      <c r="G16">
        <f>39.43367713</f>
        <v>39.43367713</v>
      </c>
      <c r="H16">
        <f>8.140043267</f>
        <v>8.1400432669999994</v>
      </c>
      <c r="I16">
        <f>47.57372039</f>
        <v>47.573720389999998</v>
      </c>
      <c r="J16">
        <f>129.13427</f>
        <v>129.13426999999999</v>
      </c>
      <c r="K16">
        <f>6.3495892</f>
        <v>6.3495891999999996</v>
      </c>
      <c r="L16">
        <f>5723.4522</f>
        <v>5723.4521999999997</v>
      </c>
    </row>
    <row r="17" spans="1:12" x14ac:dyDescent="0.25">
      <c r="A17">
        <f>0.75</f>
        <v>0.75</v>
      </c>
      <c r="B17">
        <f>43.08512774</f>
        <v>43.085127739999997</v>
      </c>
      <c r="C17">
        <f>41.08979997</f>
        <v>41.089799970000001</v>
      </c>
      <c r="D17">
        <f>30.98674471</f>
        <v>30.98674471</v>
      </c>
      <c r="E17">
        <f>72.07654468</f>
        <v>72.076544679999998</v>
      </c>
      <c r="F17">
        <f>41.97668816</f>
        <v>41.976688160000002</v>
      </c>
      <c r="G17">
        <f>40.03269366</f>
        <v>40.03269366</v>
      </c>
      <c r="H17">
        <f>8.142573546</f>
        <v>8.1425735459999995</v>
      </c>
      <c r="I17">
        <f>48.17526721</f>
        <v>48.175267210000001</v>
      </c>
      <c r="J17">
        <f>125.3685</f>
        <v>125.3685</v>
      </c>
      <c r="K17">
        <f>6.4785322</f>
        <v>6.4785322000000001</v>
      </c>
      <c r="L17">
        <f>5482.4595</f>
        <v>5482.4594999999999</v>
      </c>
    </row>
    <row r="18" spans="1:12" x14ac:dyDescent="0.25">
      <c r="A18">
        <f>0.76</f>
        <v>0.76</v>
      </c>
      <c r="B18">
        <f>43.65959611</f>
        <v>43.659596110000003</v>
      </c>
      <c r="C18">
        <f>41.70476948</f>
        <v>41.704769480000003</v>
      </c>
      <c r="D18">
        <f>30.847159</f>
        <v>30.847159000000001</v>
      </c>
      <c r="E18">
        <f>72.55192848</f>
        <v>72.551928480000001</v>
      </c>
      <c r="F18">
        <f>42.53637734</f>
        <v>42.536377340000001</v>
      </c>
      <c r="G18">
        <f>40.63184202</f>
        <v>40.631842020000001</v>
      </c>
      <c r="H18">
        <f>8.145995753</f>
        <v>8.1459957529999993</v>
      </c>
      <c r="I18">
        <f>48.77783777</f>
        <v>48.777837769999998</v>
      </c>
      <c r="J18">
        <f>121.43719</f>
        <v>121.43719</v>
      </c>
      <c r="K18">
        <f>6.6132801</f>
        <v>6.6132800999999999</v>
      </c>
      <c r="L18">
        <f>5240.6649</f>
        <v>5240.6648999999998</v>
      </c>
    </row>
    <row r="19" spans="1:12" x14ac:dyDescent="0.25">
      <c r="A19">
        <f>0.77</f>
        <v>0.77</v>
      </c>
      <c r="B19">
        <f>44.23406448</f>
        <v>44.234064480000001</v>
      </c>
      <c r="C19">
        <f>42.3198955</f>
        <v>42.319895500000001</v>
      </c>
      <c r="D19">
        <f>30.70703669</f>
        <v>30.707036689999999</v>
      </c>
      <c r="E19">
        <f>73.02693219</f>
        <v>73.026932189999997</v>
      </c>
      <c r="F19">
        <f>43.09606651</f>
        <v>43.09606651</v>
      </c>
      <c r="G19">
        <f>41.23114285</f>
        <v>41.231142849999998</v>
      </c>
      <c r="H19">
        <f>8.15037074</f>
        <v>8.1503707399999996</v>
      </c>
      <c r="I19">
        <f>49.38151359</f>
        <v>49.381513589999997</v>
      </c>
      <c r="J19">
        <f>117.33697</f>
        <v>117.33696999999999</v>
      </c>
      <c r="K19">
        <f>6.7543067</f>
        <v>6.7543066999999999</v>
      </c>
      <c r="L19">
        <f>4997.956</f>
        <v>4997.9560000000001</v>
      </c>
    </row>
    <row r="20" spans="1:12" x14ac:dyDescent="0.25">
      <c r="A20">
        <f>0.78</f>
        <v>0.78</v>
      </c>
      <c r="B20">
        <f>44.80853285</f>
        <v>44.808532849999999</v>
      </c>
      <c r="C20">
        <f>42.93520408</f>
        <v>42.935204079999998</v>
      </c>
      <c r="D20">
        <f>30.5662882</f>
        <v>30.566288199999999</v>
      </c>
      <c r="E20">
        <f>73.50149228</f>
        <v>73.501492279999994</v>
      </c>
      <c r="F20">
        <f>43.65575569</f>
        <v>43.655755689999999</v>
      </c>
      <c r="G20">
        <f>41.83062156</f>
        <v>41.830621559999997</v>
      </c>
      <c r="H20">
        <f>8.155767008</f>
        <v>8.1557670079999998</v>
      </c>
      <c r="I20">
        <f>49.98638856</f>
        <v>49.986388560000002</v>
      </c>
      <c r="J20">
        <f>113.06378</f>
        <v>113.06377999999999</v>
      </c>
      <c r="K20">
        <f>6.9021545</f>
        <v>6.9021545</v>
      </c>
      <c r="L20">
        <f>4754.1971</f>
        <v>4754.1971000000003</v>
      </c>
    </row>
    <row r="21" spans="1:12" x14ac:dyDescent="0.25">
      <c r="A21">
        <f>0.79</f>
        <v>0.79</v>
      </c>
      <c r="B21">
        <f>45.38300122</f>
        <v>45.383001219999997</v>
      </c>
      <c r="C21">
        <f>43.55072766</f>
        <v>43.55072766</v>
      </c>
      <c r="D21">
        <f>30.424802</f>
        <v>30.424802</v>
      </c>
      <c r="E21">
        <f>73.97552966</f>
        <v>73.975529660000007</v>
      </c>
      <c r="F21">
        <f>44.21544487</f>
        <v>44.215444869999999</v>
      </c>
      <c r="G21">
        <f>42.43030972</f>
        <v>42.430309719999997</v>
      </c>
      <c r="H21">
        <f>8.162262469</f>
        <v>8.1622624689999999</v>
      </c>
      <c r="I21">
        <f>50.59257219</f>
        <v>50.592572189999998</v>
      </c>
      <c r="J21">
        <f>108.61265</f>
        <v>108.61265</v>
      </c>
      <c r="K21">
        <f>7.0574511</f>
        <v>7.0574510999999998</v>
      </c>
      <c r="L21">
        <f>4509.2219</f>
        <v>4509.2218999999996</v>
      </c>
    </row>
    <row r="22" spans="1:12" x14ac:dyDescent="0.25">
      <c r="A22">
        <f>0.8</f>
        <v>0.8</v>
      </c>
      <c r="B22">
        <f>45.95746959</f>
        <v>45.957469590000002</v>
      </c>
      <c r="C22">
        <f>44.16650718</f>
        <v>44.166507180000004</v>
      </c>
      <c r="D22">
        <f>30.28243726</f>
        <v>30.282437259999998</v>
      </c>
      <c r="E22">
        <f>74.44894444</f>
        <v>74.448944440000005</v>
      </c>
      <c r="F22">
        <f>44.77513404</f>
        <v>44.775134039999998</v>
      </c>
      <c r="G22">
        <f>43.03024725</f>
        <v>43.030247250000002</v>
      </c>
      <c r="H22">
        <f>8.169946845</f>
        <v>8.1699468450000001</v>
      </c>
      <c r="I22">
        <f>51.20019409</f>
        <v>51.200194089999997</v>
      </c>
      <c r="J22">
        <f>103.97745</f>
        <v>103.97745</v>
      </c>
      <c r="K22">
        <f>7.220933</f>
        <v>7.2209329999999996</v>
      </c>
      <c r="L22">
        <f>4262.8244</f>
        <v>4262.8244000000004</v>
      </c>
    </row>
    <row r="23" spans="1:12" x14ac:dyDescent="0.25">
      <c r="A23">
        <f>0.81</f>
        <v>0.81</v>
      </c>
      <c r="B23">
        <f>46.53193796</f>
        <v>46.53193796</v>
      </c>
      <c r="C23">
        <f>44.78259523</f>
        <v>44.782595229999998</v>
      </c>
      <c r="D23">
        <f>30.13901306</f>
        <v>30.13901306</v>
      </c>
      <c r="E23">
        <f>74.92160829</f>
        <v>74.921608289999995</v>
      </c>
      <c r="F23">
        <f>45.33482322</f>
        <v>45.334823219999997</v>
      </c>
      <c r="G23">
        <f>43.63048537</f>
        <v>43.630485370000002</v>
      </c>
      <c r="H23">
        <f>8.178925058</f>
        <v>8.1789250580000008</v>
      </c>
      <c r="I23">
        <f>51.80941043</f>
        <v>51.80941043</v>
      </c>
      <c r="J23">
        <f>99.150453</f>
        <v>99.150452999999999</v>
      </c>
      <c r="K23">
        <f>7.3934779</f>
        <v>7.3934778999999997</v>
      </c>
      <c r="L23">
        <f>4014.7449</f>
        <v>4014.7449000000001</v>
      </c>
    </row>
    <row r="24" spans="1:12" x14ac:dyDescent="0.25">
      <c r="A24">
        <f>0.82</f>
        <v>0.82</v>
      </c>
      <c r="B24">
        <f>47.10640633</f>
        <v>47.106406329999999</v>
      </c>
      <c r="C24">
        <f>45.39906071</f>
        <v>45.399060710000001</v>
      </c>
      <c r="D24">
        <f>29.99429238</f>
        <v>29.994292380000001</v>
      </c>
      <c r="E24">
        <f>75.39335309</f>
        <v>75.393353090000005</v>
      </c>
      <c r="F24">
        <f>45.89451239</f>
        <v>45.894512390000003</v>
      </c>
      <c r="G24">
        <f>44.2310912</f>
        <v>44.231091200000002</v>
      </c>
      <c r="H24">
        <f>8.189322144</f>
        <v>8.1893221440000001</v>
      </c>
      <c r="I24">
        <f>52.42041335</f>
        <v>52.420413349999997</v>
      </c>
      <c r="J24">
        <f>94.121799</f>
        <v>94.121798999999996</v>
      </c>
      <c r="K24">
        <f>7.5761524</f>
        <v>7.5761523999999998</v>
      </c>
      <c r="L24">
        <f>3764.6503</f>
        <v>3764.6502999999998</v>
      </c>
    </row>
    <row r="25" spans="1:12" x14ac:dyDescent="0.25">
      <c r="A25">
        <f>0.83</f>
        <v>0.83</v>
      </c>
      <c r="B25">
        <f>47.6808747</f>
        <v>47.680874699999997</v>
      </c>
      <c r="C25">
        <f>46.01599353</f>
        <v>46.015993530000003</v>
      </c>
      <c r="D25">
        <f>29.84796578</f>
        <v>29.847965779999999</v>
      </c>
      <c r="E25">
        <f>75.86395931</f>
        <v>75.863959309999998</v>
      </c>
      <c r="F25">
        <f>46.45420157</f>
        <v>46.454201570000002</v>
      </c>
      <c r="G25">
        <f>44.83215236</f>
        <v>44.832152360000002</v>
      </c>
      <c r="H25">
        <f>8.201289957</f>
        <v>8.2012899570000002</v>
      </c>
      <c r="I25">
        <f>53.03344231</f>
        <v>53.033442309999998</v>
      </c>
      <c r="J25">
        <f>88.882743</f>
        <v>88.882743000000005</v>
      </c>
      <c r="K25">
        <f>7.7702731</f>
        <v>7.7702730999999998</v>
      </c>
      <c r="L25">
        <f>3512.2678</f>
        <v>3512.2678000000001</v>
      </c>
    </row>
    <row r="26" spans="1:12" x14ac:dyDescent="0.25">
      <c r="A26">
        <f>0.84</f>
        <v>0.84</v>
      </c>
      <c r="B26">
        <f>48.25534306</f>
        <v>48.255343060000001</v>
      </c>
      <c r="C26">
        <f>46.63352595</f>
        <v>46.633525949999999</v>
      </c>
      <c r="D26">
        <f>29.69957808</f>
        <v>29.699578079999998</v>
      </c>
      <c r="E26">
        <f>76.33310403</f>
        <v>76.333104030000001</v>
      </c>
      <c r="F26">
        <f>47.01389074</f>
        <v>47.013890740000001</v>
      </c>
      <c r="G26">
        <f>45.43379768</f>
        <v>45.433797679999998</v>
      </c>
      <c r="H26">
        <f>8.215021725</f>
        <v>8.2150217249999997</v>
      </c>
      <c r="I26">
        <f>53.64881941</f>
        <v>53.648819410000002</v>
      </c>
      <c r="J26">
        <f>83.407215</f>
        <v>83.407214999999994</v>
      </c>
      <c r="K26">
        <f>7.9775652</f>
        <v>7.9775651999999999</v>
      </c>
      <c r="L26">
        <f>3256.6614</f>
        <v>3256.6614</v>
      </c>
    </row>
    <row r="27" spans="1:12" x14ac:dyDescent="0.25">
      <c r="A27">
        <f>0.85</f>
        <v>0.85</v>
      </c>
      <c r="B27">
        <f>48.82981143</f>
        <v>48.829811429999999</v>
      </c>
      <c r="C27">
        <f>47.25183755</f>
        <v>47.251837549999998</v>
      </c>
      <c r="D27">
        <f>29.54851112</f>
        <v>29.548511120000001</v>
      </c>
      <c r="E27">
        <f>76.80034868</f>
        <v>76.800348679999999</v>
      </c>
      <c r="F27">
        <f>47.57357992</f>
        <v>47.57357992</v>
      </c>
      <c r="G27">
        <f>46.03620215</f>
        <v>46.036202150000001</v>
      </c>
      <c r="H27">
        <f>8.230767525</f>
        <v>8.2307675249999992</v>
      </c>
      <c r="I27">
        <f>54.26696967</f>
        <v>54.266969670000002</v>
      </c>
      <c r="J27">
        <f>77.67588</f>
        <v>77.675880000000006</v>
      </c>
      <c r="K27">
        <f>8.2002873</f>
        <v>8.2002872999999994</v>
      </c>
      <c r="L27">
        <f>2997.1986</f>
        <v>2997.1986000000002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A2" sqref="A2:L27"/>
    </sheetView>
  </sheetViews>
  <sheetFormatPr defaultRowHeight="15" x14ac:dyDescent="0.25"/>
  <sheetData>
    <row r="1" spans="1:12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x14ac:dyDescent="0.25">
      <c r="A2">
        <f>0.6</f>
        <v>0.6</v>
      </c>
      <c r="B2">
        <f>34.92767689</f>
        <v>34.927676890000001</v>
      </c>
      <c r="C2">
        <f>32.29955611</f>
        <v>32.299556109999997</v>
      </c>
      <c r="D2">
        <f>32.14213295</f>
        <v>32.142132949999997</v>
      </c>
      <c r="E2">
        <f>64.44168906</f>
        <v>64.441689060000002</v>
      </c>
      <c r="F2">
        <f>34.02910187</f>
        <v>34.029101869999998</v>
      </c>
      <c r="G2">
        <f>31.46859406</f>
        <v>31.468594060000001</v>
      </c>
      <c r="H2">
        <f>7.851051962</f>
        <v>7.8510519619999997</v>
      </c>
      <c r="I2">
        <f>39.31964602</f>
        <v>39.31964602</v>
      </c>
      <c r="J2">
        <f>165.01641</f>
        <v>165.01641000000001</v>
      </c>
      <c r="K2">
        <f>4.9796579</f>
        <v>4.9796579000000003</v>
      </c>
      <c r="L2">
        <f>9020.3659</f>
        <v>9020.3659000000007</v>
      </c>
    </row>
    <row r="3" spans="1:12" x14ac:dyDescent="0.25">
      <c r="A3">
        <f>0.61</f>
        <v>0.61</v>
      </c>
      <c r="B3">
        <f>35.50980483</f>
        <v>35.50980483</v>
      </c>
      <c r="C3">
        <f>32.92171054</f>
        <v>32.921710539999999</v>
      </c>
      <c r="D3">
        <f>32.0041553</f>
        <v>32.004155300000001</v>
      </c>
      <c r="E3">
        <f>64.92586584</f>
        <v>64.92586584</v>
      </c>
      <c r="F3">
        <f>34.59625357</f>
        <v>34.596253570000002</v>
      </c>
      <c r="G3">
        <f>32.07474248</f>
        <v>32.074742479999998</v>
      </c>
      <c r="H3">
        <f>7.843511671</f>
        <v>7.8435116709999999</v>
      </c>
      <c r="I3">
        <f>39.91825416</f>
        <v>39.918254159999996</v>
      </c>
      <c r="J3">
        <f>163.38543</f>
        <v>163.38543000000001</v>
      </c>
      <c r="K3">
        <f>5.0568975</f>
        <v>5.0568974999999998</v>
      </c>
      <c r="L3">
        <f>8784.7976</f>
        <v>8784.7975999999999</v>
      </c>
    </row>
    <row r="4" spans="1:12" x14ac:dyDescent="0.25">
      <c r="A4">
        <f>0.62</f>
        <v>0.62</v>
      </c>
      <c r="B4">
        <f>36.09193278</f>
        <v>36.09193278</v>
      </c>
      <c r="C4">
        <f>33.54389605</f>
        <v>33.543896050000001</v>
      </c>
      <c r="D4">
        <f>31.86607168</f>
        <v>31.866071680000001</v>
      </c>
      <c r="E4">
        <f>65.40996773</f>
        <v>65.409967730000005</v>
      </c>
      <c r="F4">
        <f>35.16340527</f>
        <v>35.163405269999998</v>
      </c>
      <c r="G4">
        <f>32.68092119</f>
        <v>32.680921189999999</v>
      </c>
      <c r="H4">
        <f>7.836364731</f>
        <v>7.8363647309999998</v>
      </c>
      <c r="I4">
        <f>40.51728593</f>
        <v>40.51728593</v>
      </c>
      <c r="J4">
        <f>161.60678</f>
        <v>161.60677999999999</v>
      </c>
      <c r="K4">
        <f>5.1366339</f>
        <v>5.1366338999999996</v>
      </c>
      <c r="L4">
        <f>8549.0167</f>
        <v>8549.0167000000001</v>
      </c>
    </row>
    <row r="5" spans="1:12" x14ac:dyDescent="0.25">
      <c r="A5">
        <f>0.63</f>
        <v>0.63</v>
      </c>
      <c r="B5">
        <f>36.67406073</f>
        <v>36.674060730000001</v>
      </c>
      <c r="C5">
        <f>34.16611538</f>
        <v>34.166115380000001</v>
      </c>
      <c r="D5">
        <f>31.72787272</f>
        <v>31.727872720000001</v>
      </c>
      <c r="E5">
        <f>65.8939881</f>
        <v>65.893988100000001</v>
      </c>
      <c r="F5">
        <f>35.73055697</f>
        <v>35.730556970000002</v>
      </c>
      <c r="G5">
        <f>33.28713285</f>
        <v>33.287132849999999</v>
      </c>
      <c r="H5">
        <f>7.82962896</f>
        <v>7.82962896</v>
      </c>
      <c r="I5">
        <f>41.11676181</f>
        <v>41.11676181</v>
      </c>
      <c r="J5">
        <f>159.67995</f>
        <v>159.67994999999999</v>
      </c>
      <c r="K5">
        <f>5.2189956</f>
        <v>5.2189956000000004</v>
      </c>
      <c r="L5">
        <f>8313.0063</f>
        <v>8313.0062999999991</v>
      </c>
    </row>
    <row r="6" spans="1:12" x14ac:dyDescent="0.25">
      <c r="A6">
        <f>0.64</f>
        <v>0.64</v>
      </c>
      <c r="B6">
        <f>37.25618868</f>
        <v>37.256188680000001</v>
      </c>
      <c r="C6">
        <f>34.7883716</f>
        <v>34.788371599999998</v>
      </c>
      <c r="D6">
        <f>31.58954791</f>
        <v>31.58954791</v>
      </c>
      <c r="E6">
        <f>66.3779195</f>
        <v>66.377919500000004</v>
      </c>
      <c r="F6">
        <f>36.29770866</f>
        <v>36.297708659999998</v>
      </c>
      <c r="G6">
        <f>33.89338045</f>
        <v>33.893380450000002</v>
      </c>
      <c r="H6">
        <f>7.823323348</f>
        <v>7.8233233479999997</v>
      </c>
      <c r="I6">
        <f>41.7167038</f>
        <v>41.716703799999998</v>
      </c>
      <c r="J6">
        <f>157.60435</f>
        <v>157.60435000000001</v>
      </c>
      <c r="K6">
        <f>5.3041211</f>
        <v>5.3041210999999997</v>
      </c>
      <c r="L6">
        <f>8076.7473</f>
        <v>8076.7473</v>
      </c>
    </row>
    <row r="7" spans="1:12" x14ac:dyDescent="0.25">
      <c r="A7">
        <f>0.65</f>
        <v>0.65</v>
      </c>
      <c r="B7">
        <f>37.83831663</f>
        <v>37.838316630000001</v>
      </c>
      <c r="C7">
        <f>35.41066817</f>
        <v>35.410668170000001</v>
      </c>
      <c r="D7">
        <f>31.45108536</f>
        <v>31.45108536</v>
      </c>
      <c r="E7">
        <f>66.86175353</f>
        <v>66.861753530000001</v>
      </c>
      <c r="F7">
        <f>36.86486036</f>
        <v>36.864860360000002</v>
      </c>
      <c r="G7">
        <f>34.49966737</f>
        <v>34.499667369999997</v>
      </c>
      <c r="H7">
        <f>7.817468169</f>
        <v>7.8174681689999996</v>
      </c>
      <c r="I7">
        <f>42.31713554</f>
        <v>42.317135540000002</v>
      </c>
      <c r="J7">
        <f>155.37933</f>
        <v>155.37933000000001</v>
      </c>
      <c r="K7">
        <f>5.3921595</f>
        <v>5.3921595</v>
      </c>
      <c r="L7">
        <f>7840.2185</f>
        <v>7840.2184999999999</v>
      </c>
    </row>
    <row r="8" spans="1:12" x14ac:dyDescent="0.25">
      <c r="A8">
        <f>0.66</f>
        <v>0.66</v>
      </c>
      <c r="B8">
        <f>38.42044457</f>
        <v>38.420444570000001</v>
      </c>
      <c r="C8">
        <f>36.03300901</f>
        <v>36.033009010000001</v>
      </c>
      <c r="D8">
        <f>31.31247166</f>
        <v>31.31247166</v>
      </c>
      <c r="E8">
        <f>67.34548067</f>
        <v>67.345480670000001</v>
      </c>
      <c r="F8">
        <f>37.43201206</f>
        <v>37.432012059999998</v>
      </c>
      <c r="G8">
        <f>35.10599741</f>
        <v>35.105997410000001</v>
      </c>
      <c r="H8">
        <f>7.812085105</f>
        <v>7.8120851050000004</v>
      </c>
      <c r="I8">
        <f>42.91808252</f>
        <v>42.918082519999999</v>
      </c>
      <c r="J8">
        <f>153.00418</f>
        <v>153.00417999999999</v>
      </c>
      <c r="K8">
        <f>5.4832717</f>
        <v>5.4832717000000004</v>
      </c>
      <c r="L8">
        <f>7603.3963</f>
        <v>7603.3963000000003</v>
      </c>
    </row>
    <row r="9" spans="1:12" x14ac:dyDescent="0.25">
      <c r="A9">
        <f>0.67</f>
        <v>0.67</v>
      </c>
      <c r="B9">
        <f>39.00257252</f>
        <v>39.002572520000001</v>
      </c>
      <c r="C9">
        <f>36.65539857</f>
        <v>36.655398570000003</v>
      </c>
      <c r="D9">
        <f>31.17369155</f>
        <v>31.173691550000001</v>
      </c>
      <c r="E9">
        <f>67.82909012</f>
        <v>67.829090120000004</v>
      </c>
      <c r="F9">
        <f>37.99916376</f>
        <v>37.999163760000002</v>
      </c>
      <c r="G9">
        <f>35.71237492</f>
        <v>35.712374920000002</v>
      </c>
      <c r="H9">
        <f>7.807197389</f>
        <v>7.8071973889999997</v>
      </c>
      <c r="I9">
        <f>43.51957231</f>
        <v>43.519572310000001</v>
      </c>
      <c r="J9">
        <f>150.47807</f>
        <v>150.47807</v>
      </c>
      <c r="K9">
        <f>5.5776321</f>
        <v>5.5776320999999998</v>
      </c>
      <c r="L9">
        <f>7366.2537</f>
        <v>7366.2537000000002</v>
      </c>
    </row>
    <row r="10" spans="1:12" x14ac:dyDescent="0.25">
      <c r="A10">
        <f>0.68</f>
        <v>0.68</v>
      </c>
      <c r="B10">
        <f>39.58470047</f>
        <v>39.584700470000001</v>
      </c>
      <c r="C10">
        <f>37.27784193</f>
        <v>37.277841930000001</v>
      </c>
      <c r="D10">
        <f>31.0347276</f>
        <v>31.0347276</v>
      </c>
      <c r="E10">
        <f>68.31256953</f>
        <v>68.312569530000005</v>
      </c>
      <c r="F10">
        <f>38.56631545</f>
        <v>38.566315449999998</v>
      </c>
      <c r="G10">
        <f>36.31880485</f>
        <v>36.318804849999999</v>
      </c>
      <c r="H10">
        <f>7.80282997</f>
        <v>7.8028299700000003</v>
      </c>
      <c r="I10">
        <f>44.12163482</f>
        <v>44.121634819999997</v>
      </c>
      <c r="J10">
        <f>147.80008</f>
        <v>147.80008000000001</v>
      </c>
      <c r="K10">
        <f>5.6754298</f>
        <v>5.6754297999999999</v>
      </c>
      <c r="L10">
        <f>7128.7606</f>
        <v>7128.7605999999996</v>
      </c>
    </row>
    <row r="11" spans="1:12" x14ac:dyDescent="0.25">
      <c r="A11">
        <f>0.69</f>
        <v>0.69</v>
      </c>
      <c r="B11">
        <f>40.16682842</f>
        <v>40.166828420000002</v>
      </c>
      <c r="C11">
        <f>37.90034491</f>
        <v>37.900344910000001</v>
      </c>
      <c r="D11">
        <f>30.89555982</f>
        <v>30.895559819999999</v>
      </c>
      <c r="E11">
        <f>68.79590473</f>
        <v>68.795904730000004</v>
      </c>
      <c r="F11">
        <f>39.13346715</f>
        <v>39.133467150000001</v>
      </c>
      <c r="G11">
        <f>36.92529286</f>
        <v>36.925292859999999</v>
      </c>
      <c r="H11">
        <f>7.799009704</f>
        <v>7.7990097040000004</v>
      </c>
      <c r="I11">
        <f>44.72430257</f>
        <v>44.724302569999999</v>
      </c>
      <c r="J11">
        <f>144.96918</f>
        <v>144.96917999999999</v>
      </c>
      <c r="K11">
        <f>5.7768707</f>
        <v>5.7768706999999999</v>
      </c>
      <c r="L11">
        <f>6890.8826</f>
        <v>6890.8825999999999</v>
      </c>
    </row>
    <row r="12" spans="1:12" x14ac:dyDescent="0.25">
      <c r="A12">
        <f>0.7</f>
        <v>0.7</v>
      </c>
      <c r="B12">
        <f>40.74895637</f>
        <v>40.748956370000002</v>
      </c>
      <c r="C12">
        <f>38.52291424</f>
        <v>38.522914239999999</v>
      </c>
      <c r="D12">
        <f>30.75616515</f>
        <v>30.756165150000001</v>
      </c>
      <c r="E12">
        <f>69.27907939</f>
        <v>69.279079390000007</v>
      </c>
      <c r="F12">
        <f>39.70061885</f>
        <v>39.700618849999998</v>
      </c>
      <c r="G12">
        <f>37.53184551</f>
        <v>37.531845509999997</v>
      </c>
      <c r="H12">
        <f>7.795765576</f>
        <v>7.795765576</v>
      </c>
      <c r="I12">
        <f>45.32761109</f>
        <v>45.327611089999998</v>
      </c>
      <c r="J12">
        <f>141.98416</f>
        <v>141.98416</v>
      </c>
      <c r="K12">
        <f>5.8821798</f>
        <v>5.8821798000000003</v>
      </c>
      <c r="L12">
        <f>6652.5806</f>
        <v>6652.5806000000002</v>
      </c>
    </row>
    <row r="13" spans="1:12" x14ac:dyDescent="0.25">
      <c r="A13">
        <f>0.71</f>
        <v>0.71</v>
      </c>
      <c r="B13">
        <f>41.33108431</f>
        <v>41.331084310000001</v>
      </c>
      <c r="C13">
        <f>39.14555769</f>
        <v>39.145557689999997</v>
      </c>
      <c r="D13">
        <f>30.61651686</f>
        <v>30.616516860000001</v>
      </c>
      <c r="E13">
        <f>69.76207455</f>
        <v>69.762074549999994</v>
      </c>
      <c r="F13">
        <f>40.26777055</f>
        <v>40.267770550000002</v>
      </c>
      <c r="G13">
        <f>38.13847039</f>
        <v>38.138470390000002</v>
      </c>
      <c r="H13">
        <f>7.793128964</f>
        <v>7.7931289640000001</v>
      </c>
      <c r="I13">
        <f>45.93159935</f>
        <v>45.931599349999999</v>
      </c>
      <c r="J13">
        <f>138.84369</f>
        <v>138.84369000000001</v>
      </c>
      <c r="K13">
        <f>5.9916035</f>
        <v>5.9916035000000001</v>
      </c>
      <c r="L13">
        <f>6413.8095</f>
        <v>6413.8095000000003</v>
      </c>
    </row>
    <row r="14" spans="1:12" x14ac:dyDescent="0.25">
      <c r="A14">
        <f>0.72</f>
        <v>0.72</v>
      </c>
      <c r="B14">
        <f>41.91321226</f>
        <v>41.913212260000002</v>
      </c>
      <c r="C14">
        <f>39.76828438</f>
        <v>39.768284379999997</v>
      </c>
      <c r="D14">
        <f>30.47658371</f>
        <v>30.47658371</v>
      </c>
      <c r="E14">
        <f>70.24486809</f>
        <v>70.244868089999997</v>
      </c>
      <c r="F14">
        <f>40.83492225</f>
        <v>40.834922249999998</v>
      </c>
      <c r="G14">
        <f>38.74517635</f>
        <v>38.745176350000001</v>
      </c>
      <c r="H14">
        <f>7.791133949</f>
        <v>7.7911339489999998</v>
      </c>
      <c r="I14">
        <f>46.53631029</f>
        <v>46.536310290000003</v>
      </c>
      <c r="J14">
        <f>135.54617</f>
        <v>135.54616999999999</v>
      </c>
      <c r="K14">
        <f>6.1054133</f>
        <v>6.1054133000000004</v>
      </c>
      <c r="L14">
        <f>6174.5176</f>
        <v>6174.5176000000001</v>
      </c>
    </row>
    <row r="15" spans="1:12" x14ac:dyDescent="0.25">
      <c r="A15">
        <f>0.73</f>
        <v>0.73</v>
      </c>
      <c r="B15">
        <f>42.49534021</f>
        <v>42.495340210000002</v>
      </c>
      <c r="C15">
        <f>40.39110496</f>
        <v>40.39110496</v>
      </c>
      <c r="D15">
        <f>30.336329</f>
        <v>30.336328999999999</v>
      </c>
      <c r="E15">
        <f>70.72743397</f>
        <v>70.727433970000007</v>
      </c>
      <c r="F15">
        <f>41.40207394</f>
        <v>41.402073940000001</v>
      </c>
      <c r="G15">
        <f>39.35197379</f>
        <v>39.351973790000002</v>
      </c>
      <c r="H15">
        <f>7.789817682</f>
        <v>7.7898176819999998</v>
      </c>
      <c r="I15">
        <f>47.14179148</f>
        <v>47.141791480000002</v>
      </c>
      <c r="J15">
        <f>132.0898</f>
        <v>132.0898</v>
      </c>
      <c r="K15">
        <f>6.2239091</f>
        <v>6.2239091000000002</v>
      </c>
      <c r="L15">
        <f>5934.6445</f>
        <v>5934.6445000000003</v>
      </c>
    </row>
    <row r="16" spans="1:12" x14ac:dyDescent="0.25">
      <c r="A16">
        <f>0.74</f>
        <v>0.74</v>
      </c>
      <c r="B16">
        <f>43.07746816</f>
        <v>43.077468160000002</v>
      </c>
      <c r="C16">
        <f>41.0140321</f>
        <v>41.014032100000001</v>
      </c>
      <c r="D16">
        <f>30.19570933</f>
        <v>30.19570933</v>
      </c>
      <c r="E16">
        <f>71.20974143</f>
        <v>71.209741429999994</v>
      </c>
      <c r="F16">
        <f>41.96922564</f>
        <v>41.969225639999998</v>
      </c>
      <c r="G16">
        <f>39.95887505</f>
        <v>39.958875050000003</v>
      </c>
      <c r="H16">
        <f>7.789220885</f>
        <v>7.7892208849999998</v>
      </c>
      <c r="I16">
        <f>47.74809594</f>
        <v>47.748095939999999</v>
      </c>
      <c r="J16">
        <f>128.47247</f>
        <v>128.47246999999999</v>
      </c>
      <c r="K16">
        <f>6.3474246</f>
        <v>6.3474246000000001</v>
      </c>
      <c r="L16">
        <f>5694.12</f>
        <v>5694.12</v>
      </c>
    </row>
    <row r="17" spans="1:12" x14ac:dyDescent="0.25">
      <c r="A17">
        <f>0.75</f>
        <v>0.75</v>
      </c>
      <c r="B17">
        <f>43.65959611</f>
        <v>43.659596110000003</v>
      </c>
      <c r="C17">
        <f>41.63708089</f>
        <v>41.63708089</v>
      </c>
      <c r="D17">
        <f>30.0546728</f>
        <v>30.054672799999999</v>
      </c>
      <c r="E17">
        <f>71.69175369</f>
        <v>71.691753689999999</v>
      </c>
      <c r="F17">
        <f>42.53637734</f>
        <v>42.536377340000001</v>
      </c>
      <c r="G17">
        <f>40.56589483</f>
        <v>40.565894829999998</v>
      </c>
      <c r="H17">
        <f>7.789388358</f>
        <v>7.7893883580000001</v>
      </c>
      <c r="I17">
        <f>48.35528319</f>
        <v>48.355283190000002</v>
      </c>
      <c r="J17">
        <f>124.69167</f>
        <v>124.69167</v>
      </c>
      <c r="K17">
        <f>6.4763326</f>
        <v>6.4763326000000001</v>
      </c>
      <c r="L17">
        <f>5452.8611</f>
        <v>5452.8611000000001</v>
      </c>
    </row>
    <row r="18" spans="1:12" x14ac:dyDescent="0.25">
      <c r="A18">
        <f>0.76</f>
        <v>0.76</v>
      </c>
      <c r="B18">
        <f>44.24172405</f>
        <v>44.241724050000002</v>
      </c>
      <c r="C18">
        <f>42.26026951</f>
        <v>42.260269510000001</v>
      </c>
      <c r="D18">
        <f>29.91315691</f>
        <v>29.913156910000001</v>
      </c>
      <c r="E18">
        <f>72.17342642</f>
        <v>72.173426419999998</v>
      </c>
      <c r="F18">
        <f>43.10352904</f>
        <v>43.103529039999998</v>
      </c>
      <c r="G18">
        <f>41.17305084</f>
        <v>41.173050840000002</v>
      </c>
      <c r="H18">
        <f>7.790369733</f>
        <v>7.7903697330000004</v>
      </c>
      <c r="I18">
        <f>48.96342058</f>
        <v>48.963420579999998</v>
      </c>
      <c r="J18">
        <f>120.74445</f>
        <v>120.74445</v>
      </c>
      <c r="K18">
        <f>6.6110535</f>
        <v>6.6110534999999997</v>
      </c>
      <c r="L18">
        <f>5210.7694</f>
        <v>5210.7694000000001</v>
      </c>
    </row>
    <row r="19" spans="1:12" x14ac:dyDescent="0.25">
      <c r="A19">
        <f>0.77</f>
        <v>0.77</v>
      </c>
      <c r="B19">
        <f>44.823852</f>
        <v>44.823852000000002</v>
      </c>
      <c r="C19">
        <f>42.88362009</f>
        <v>42.883620090000001</v>
      </c>
      <c r="D19">
        <f>29.77108557</f>
        <v>29.77108557</v>
      </c>
      <c r="E19">
        <f>72.65470566</f>
        <v>72.654705660000005</v>
      </c>
      <c r="F19">
        <f>43.67068074</f>
        <v>43.670680740000002</v>
      </c>
      <c r="G19">
        <f>41.78036465</f>
        <v>41.780364650000003</v>
      </c>
      <c r="H19">
        <f>7.792220375</f>
        <v>7.7922203750000003</v>
      </c>
      <c r="I19">
        <f>49.57258503</f>
        <v>49.572585029999999</v>
      </c>
      <c r="J19">
        <f>116.62728</f>
        <v>116.62728</v>
      </c>
      <c r="K19">
        <f>6.7520641</f>
        <v>6.7520641000000001</v>
      </c>
      <c r="L19">
        <f>4967.7266</f>
        <v>4967.7266</v>
      </c>
    </row>
    <row r="20" spans="1:12" x14ac:dyDescent="0.25">
      <c r="A20">
        <f>0.78</f>
        <v>0.78</v>
      </c>
      <c r="B20">
        <f>45.40597995</f>
        <v>45.405979950000003</v>
      </c>
      <c r="C20">
        <f>43.5071599</f>
        <v>43.507159899999998</v>
      </c>
      <c r="D20">
        <f>29.62836505</f>
        <v>29.628365049999999</v>
      </c>
      <c r="E20">
        <f>73.13552495</f>
        <v>73.135524950000004</v>
      </c>
      <c r="F20">
        <f>44.23783243</f>
        <v>44.237832429999997</v>
      </c>
      <c r="G20">
        <f>42.38786282</f>
        <v>42.387862820000002</v>
      </c>
      <c r="H20">
        <f>7.795002578</f>
        <v>7.7950025780000001</v>
      </c>
      <c r="I20">
        <f>50.1828654</f>
        <v>50.182865399999997</v>
      </c>
      <c r="J20">
        <f>112.33588</f>
        <v>112.33588</v>
      </c>
      <c r="K20">
        <f>6.8999115</f>
        <v>6.8999115</v>
      </c>
      <c r="L20">
        <f>4723.5897</f>
        <v>4723.5897000000004</v>
      </c>
    </row>
    <row r="21" spans="1:12" x14ac:dyDescent="0.25">
      <c r="A21">
        <f>0.79</f>
        <v>0.79</v>
      </c>
      <c r="B21">
        <f>45.9881079</f>
        <v>45.988107900000003</v>
      </c>
      <c r="C21">
        <f>44.13092293</f>
        <v>44.130922929999997</v>
      </c>
      <c r="D21">
        <f>29.48487843</f>
        <v>29.484878429999998</v>
      </c>
      <c r="E21">
        <f>73.61580136</f>
        <v>73.615801360000006</v>
      </c>
      <c r="F21">
        <f>44.80498413</f>
        <v>44.804984130000001</v>
      </c>
      <c r="G21">
        <f>42.99557846</f>
        <v>42.995578459999997</v>
      </c>
      <c r="H21">
        <f>7.798787159</f>
        <v>7.7987871589999997</v>
      </c>
      <c r="I21">
        <f>50.79436562</f>
        <v>50.794365620000001</v>
      </c>
      <c r="J21">
        <f>107.86502</f>
        <v>107.86502</v>
      </c>
      <c r="K21">
        <f>7.0552299</f>
        <v>7.0552298999999996</v>
      </c>
      <c r="L21">
        <f>4478.1828</f>
        <v>4478.1827999999996</v>
      </c>
    </row>
    <row r="22" spans="1:12" x14ac:dyDescent="0.25">
      <c r="A22">
        <f>0.8</f>
        <v>0.8</v>
      </c>
      <c r="B22">
        <f>46.57023585</f>
        <v>46.570235850000003</v>
      </c>
      <c r="C22">
        <f>44.75495224</f>
        <v>44.754952240000001</v>
      </c>
      <c r="D22">
        <f>29.34047758</f>
        <v>29.340477580000002</v>
      </c>
      <c r="E22">
        <f>74.09542982</f>
        <v>74.095429820000007</v>
      </c>
      <c r="F22">
        <f>45.37213583</f>
        <v>45.372135829999998</v>
      </c>
      <c r="G22">
        <f>43.60355354</f>
        <v>43.60355354</v>
      </c>
      <c r="H22">
        <f>7.803655645</f>
        <v>7.8036556450000001</v>
      </c>
      <c r="I22">
        <f>51.40720918</f>
        <v>51.407209180000002</v>
      </c>
      <c r="J22">
        <f>103.20821</f>
        <v>103.20820999999999</v>
      </c>
      <c r="K22">
        <f>7.2187651</f>
        <v>7.2187650999999997</v>
      </c>
      <c r="L22">
        <f>4231.2874</f>
        <v>4231.2874000000002</v>
      </c>
    </row>
    <row r="23" spans="1:12" x14ac:dyDescent="0.25">
      <c r="A23">
        <f>0.81</f>
        <v>0.81</v>
      </c>
      <c r="B23">
        <f>47.15236379</f>
        <v>47.152363790000003</v>
      </c>
      <c r="C23">
        <f>45.37930332</f>
        <v>45.379303319999998</v>
      </c>
      <c r="D23">
        <f>29.19497158</f>
        <v>29.194971580000001</v>
      </c>
      <c r="E23">
        <f>74.5742749</f>
        <v>74.574274900000006</v>
      </c>
      <c r="F23">
        <f>45.93928753</f>
        <v>45.939287530000001</v>
      </c>
      <c r="G23">
        <f>44.21184211</f>
        <v>44.211842109999999</v>
      </c>
      <c r="H23">
        <f>7.809703358</f>
        <v>7.8097033580000002</v>
      </c>
      <c r="I23">
        <f>52.02154547</f>
        <v>52.02154547</v>
      </c>
      <c r="J23">
        <f>98.357247</f>
        <v>98.357247000000001</v>
      </c>
      <c r="K23">
        <f>7.3914083</f>
        <v>7.3914083000000002</v>
      </c>
      <c r="L23">
        <f>3982.6269</f>
        <v>3982.6269000000002</v>
      </c>
    </row>
    <row r="24" spans="1:12" x14ac:dyDescent="0.25">
      <c r="A24">
        <f>0.82</f>
        <v>0.82</v>
      </c>
      <c r="B24">
        <f>47.73449174</f>
        <v>47.734491740000003</v>
      </c>
      <c r="C24">
        <f>46.00404917</f>
        <v>46.004049170000002</v>
      </c>
      <c r="D24">
        <f>29.04810926</f>
        <v>29.04810926</v>
      </c>
      <c r="E24">
        <f>75.05215843</f>
        <v>75.052158430000006</v>
      </c>
      <c r="F24">
        <f>46.50643922</f>
        <v>46.506439219999997</v>
      </c>
      <c r="G24">
        <f>44.82051529</f>
        <v>44.820515290000003</v>
      </c>
      <c r="H24">
        <f>7.817043934</f>
        <v>7.817043934</v>
      </c>
      <c r="I24">
        <f>52.63755922</f>
        <v>52.63755922</v>
      </c>
      <c r="J24">
        <f>93.301614</f>
        <v>93.301614000000001</v>
      </c>
      <c r="K24">
        <f>7.5742468</f>
        <v>7.5742468000000001</v>
      </c>
      <c r="L24">
        <f>3731.8448</f>
        <v>3731.8447999999999</v>
      </c>
    </row>
    <row r="25" spans="1:12" x14ac:dyDescent="0.25">
      <c r="A25">
        <f>0.83</f>
        <v>0.83</v>
      </c>
      <c r="B25">
        <f>48.31661969</f>
        <v>48.316619690000003</v>
      </c>
      <c r="C25">
        <f>46.62928567</f>
        <v>46.629285670000002</v>
      </c>
      <c r="D25">
        <f>28.89956065</f>
        <v>28.899560650000002</v>
      </c>
      <c r="E25">
        <f>75.52884633</f>
        <v>75.528846329999993</v>
      </c>
      <c r="F25">
        <f>47.07359092</f>
        <v>47.073590920000001</v>
      </c>
      <c r="G25">
        <f>45.4296665</f>
        <v>45.429666500000003</v>
      </c>
      <c r="H25">
        <f>7.825815629</f>
        <v>7.8258156290000001</v>
      </c>
      <c r="I25">
        <f>53.25548213</f>
        <v>53.255482129999997</v>
      </c>
      <c r="J25">
        <f>88.031551</f>
        <v>88.031550999999993</v>
      </c>
      <c r="K25">
        <f>7.7686288</f>
        <v>7.7686288000000001</v>
      </c>
      <c r="L25">
        <f>3478.6324</f>
        <v>3478.6324</v>
      </c>
    </row>
    <row r="26" spans="1:12" x14ac:dyDescent="0.25">
      <c r="A26">
        <f>0.84</f>
        <v>0.84</v>
      </c>
      <c r="B26">
        <f>48.89874764</f>
        <v>48.898747640000003</v>
      </c>
      <c r="C26">
        <f>47.25515427</f>
        <v>47.255154269999998</v>
      </c>
      <c r="D26">
        <f>28.74883889</f>
        <v>28.748838889999998</v>
      </c>
      <c r="E26">
        <f>76.00399316</f>
        <v>76.003993159999993</v>
      </c>
      <c r="F26">
        <f>47.64074262</f>
        <v>47.640742619999997</v>
      </c>
      <c r="G26">
        <f>46.03943354</f>
        <v>46.039433539999997</v>
      </c>
      <c r="H26">
        <f>7.836194326</f>
        <v>7.8361943260000002</v>
      </c>
      <c r="I26">
        <f>53.87562786</f>
        <v>53.875627860000002</v>
      </c>
      <c r="J26">
        <f>82.519762</f>
        <v>82.519762</v>
      </c>
      <c r="K26">
        <f>7.9763313</f>
        <v>7.9763313</v>
      </c>
      <c r="L26">
        <f>3222.0105</f>
        <v>3222.0104999999999</v>
      </c>
    </row>
    <row r="27" spans="1:12" x14ac:dyDescent="0.25">
      <c r="A27">
        <f>0.85</f>
        <v>0.85</v>
      </c>
      <c r="B27">
        <f>49.48087559</f>
        <v>49.480875589999997</v>
      </c>
      <c r="C27">
        <f>47.88184909</f>
        <v>47.881849090000003</v>
      </c>
      <c r="D27">
        <f>28.59527567</f>
        <v>28.595275669999999</v>
      </c>
      <c r="E27">
        <f>76.47712476</f>
        <v>76.477124759999995</v>
      </c>
      <c r="F27">
        <f>48.20789432</f>
        <v>48.207894320000001</v>
      </c>
      <c r="G27">
        <f>46.65000555</f>
        <v>46.650005550000003</v>
      </c>
      <c r="H27">
        <f>7.848408951</f>
        <v>7.8484089509999997</v>
      </c>
      <c r="I27">
        <f>54.4984145</f>
        <v>54.498414500000003</v>
      </c>
      <c r="J27">
        <f>76.744702</f>
        <v>76.744702000000004</v>
      </c>
      <c r="K27">
        <f>8.1997</f>
        <v>8.1997</v>
      </c>
      <c r="L27">
        <f>2961.2683</f>
        <v>2961.2683000000002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A2" sqref="A2:L27"/>
    </sheetView>
  </sheetViews>
  <sheetFormatPr defaultRowHeight="15" x14ac:dyDescent="0.25"/>
  <cols>
    <col min="1" max="1" width="18" bestFit="1" customWidth="1"/>
  </cols>
  <sheetData>
    <row r="1" spans="1:12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x14ac:dyDescent="0.25">
      <c r="A2">
        <f>0.6</f>
        <v>0.6</v>
      </c>
      <c r="B2">
        <f>35.38725158</f>
        <v>35.387251579999997</v>
      </c>
      <c r="C2">
        <f>32.72385665</f>
        <v>32.723856650000002</v>
      </c>
      <c r="D2">
        <f>31.23795482</f>
        <v>31.237954819999999</v>
      </c>
      <c r="E2">
        <f>63.96181147</f>
        <v>63.961811470000001</v>
      </c>
      <c r="F2">
        <f>34.47685321</f>
        <v>34.476853210000002</v>
      </c>
      <c r="G2">
        <f>31.88197873</f>
        <v>31.88197873</v>
      </c>
      <c r="H2">
        <f>7.532878731</f>
        <v>7.5328787310000003</v>
      </c>
      <c r="I2">
        <f>39.41485746</f>
        <v>39.41485746</v>
      </c>
      <c r="J2">
        <f>164.51372</f>
        <v>164.51372000000001</v>
      </c>
      <c r="K2">
        <f>4.9781705</f>
        <v>4.9781705000000001</v>
      </c>
      <c r="L2">
        <f>8992.887</f>
        <v>8992.8870000000006</v>
      </c>
    </row>
    <row r="3" spans="1:12" x14ac:dyDescent="0.25">
      <c r="A3">
        <f>0.61</f>
        <v>0.61</v>
      </c>
      <c r="B3">
        <f>35.97703911</f>
        <v>35.97703911</v>
      </c>
      <c r="C3">
        <f>33.35420103</f>
        <v>33.354201029999999</v>
      </c>
      <c r="D3">
        <f>31.09814788</f>
        <v>31.098147879999999</v>
      </c>
      <c r="E3">
        <f>64.45234891</f>
        <v>64.452348909999998</v>
      </c>
      <c r="F3">
        <f>35.05146743</f>
        <v>35.051467430000002</v>
      </c>
      <c r="G3">
        <f>32.49610641</f>
        <v>32.496106410000003</v>
      </c>
      <c r="H3">
        <f>7.523776731</f>
        <v>7.5237767309999999</v>
      </c>
      <c r="I3">
        <f>40.01988314</f>
        <v>40.019883139999997</v>
      </c>
      <c r="J3">
        <f>162.87265</f>
        <v>162.87264999999999</v>
      </c>
      <c r="K3">
        <f>5.0553708</f>
        <v>5.0553708000000004</v>
      </c>
      <c r="L3">
        <f>8757.2266</f>
        <v>8757.2266</v>
      </c>
    </row>
    <row r="4" spans="1:12" x14ac:dyDescent="0.25">
      <c r="A4">
        <f>0.62</f>
        <v>0.62</v>
      </c>
      <c r="B4">
        <f>36.56682663</f>
        <v>36.566826630000001</v>
      </c>
      <c r="C4">
        <f>33.98457723</f>
        <v>33.984577229999999</v>
      </c>
      <c r="D4">
        <f>30.95823239</f>
        <v>30.958232389999999</v>
      </c>
      <c r="E4">
        <f>64.94280963</f>
        <v>64.942809629999999</v>
      </c>
      <c r="F4">
        <f>35.62608165</f>
        <v>35.626081650000003</v>
      </c>
      <c r="G4">
        <f>33.11026509</f>
        <v>33.110265089999999</v>
      </c>
      <c r="H4">
        <f>7.515032112</f>
        <v>7.5150321120000001</v>
      </c>
      <c r="I4">
        <f>40.62529721</f>
        <v>40.625297209999999</v>
      </c>
      <c r="J4">
        <f>161.08374</f>
        <v>161.08374000000001</v>
      </c>
      <c r="K4">
        <f>5.1350666</f>
        <v>5.1350666</v>
      </c>
      <c r="L4">
        <f>8521.3478</f>
        <v>8521.3477999999996</v>
      </c>
    </row>
    <row r="5" spans="1:12" x14ac:dyDescent="0.25">
      <c r="A5">
        <f>0.63</f>
        <v>0.63</v>
      </c>
      <c r="B5">
        <f>37.15661416</f>
        <v>37.156614159999997</v>
      </c>
      <c r="C5">
        <f>34.61498809</f>
        <v>34.614988089999997</v>
      </c>
      <c r="D5">
        <f>30.81819871</f>
        <v>30.818198710000001</v>
      </c>
      <c r="E5">
        <f>65.43318679</f>
        <v>65.433186789999993</v>
      </c>
      <c r="F5">
        <f>36.20069587</f>
        <v>36.200695869999997</v>
      </c>
      <c r="G5">
        <f>33.72445753</f>
        <v>33.724457530000002</v>
      </c>
      <c r="H5">
        <f>7.506661066</f>
        <v>7.5066610660000004</v>
      </c>
      <c r="I5">
        <f>41.2311186</f>
        <v>41.231118600000002</v>
      </c>
      <c r="J5">
        <f>159.14647</f>
        <v>159.14646999999999</v>
      </c>
      <c r="K5">
        <f>5.2173868</f>
        <v>5.2173867999999999</v>
      </c>
      <c r="L5">
        <f>8285.2329</f>
        <v>8285.2329000000009</v>
      </c>
    </row>
    <row r="6" spans="1:12" x14ac:dyDescent="0.25">
      <c r="A6">
        <f>0.64</f>
        <v>0.64</v>
      </c>
      <c r="B6">
        <f>37.74640169</f>
        <v>37.746401689999999</v>
      </c>
      <c r="C6">
        <f>35.24543674</f>
        <v>35.245436740000002</v>
      </c>
      <c r="D6">
        <f>30.67803599</f>
        <v>30.678035990000001</v>
      </c>
      <c r="E6">
        <f>65.92347273</f>
        <v>65.92347273</v>
      </c>
      <c r="F6">
        <f>36.77531009</f>
        <v>36.775310089999998</v>
      </c>
      <c r="G6">
        <f>34.33868681</f>
        <v>34.338686809999999</v>
      </c>
      <c r="H6">
        <f>7.498680847</f>
        <v>7.4986808470000001</v>
      </c>
      <c r="I6">
        <f>41.83736765</f>
        <v>41.837367649999997</v>
      </c>
      <c r="J6">
        <f>157.06022</f>
        <v>157.06021999999999</v>
      </c>
      <c r="K6">
        <f>5.3024697</f>
        <v>5.3024696999999996</v>
      </c>
      <c r="L6">
        <f>8048.8623</f>
        <v>8048.8622999999998</v>
      </c>
    </row>
    <row r="7" spans="1:12" x14ac:dyDescent="0.25">
      <c r="A7">
        <f>0.65</f>
        <v>0.65</v>
      </c>
      <c r="B7">
        <f>38.33618921</f>
        <v>38.336189210000001</v>
      </c>
      <c r="C7">
        <f>35.87592677</f>
        <v>35.87592677</v>
      </c>
      <c r="D7">
        <f>30.53773202</f>
        <v>30.53773202</v>
      </c>
      <c r="E7">
        <f>66.41365878</f>
        <v>66.413658780000006</v>
      </c>
      <c r="F7">
        <f>37.34992431</f>
        <v>37.349924309999999</v>
      </c>
      <c r="G7">
        <f>34.95295638</f>
        <v>34.952956380000003</v>
      </c>
      <c r="H7">
        <f>7.491109869</f>
        <v>7.4911098689999998</v>
      </c>
      <c r="I7">
        <f>42.44406625</f>
        <v>42.444066249999999</v>
      </c>
      <c r="J7">
        <f>154.82433</f>
        <v>154.82433</v>
      </c>
      <c r="K7">
        <f>5.3904646</f>
        <v>5.3904645999999996</v>
      </c>
      <c r="L7">
        <f>7812.2141</f>
        <v>7812.2141000000001</v>
      </c>
    </row>
    <row r="8" spans="1:12" x14ac:dyDescent="0.25">
      <c r="A8">
        <f>0.66</f>
        <v>0.66</v>
      </c>
      <c r="B8">
        <f>38.92597674</f>
        <v>38.925976740000003</v>
      </c>
      <c r="C8">
        <f>36.5064622</f>
        <v>36.506462200000001</v>
      </c>
      <c r="D8">
        <f>30.39727295</f>
        <v>30.397272950000001</v>
      </c>
      <c r="E8">
        <f>66.90373515</f>
        <v>66.903735150000003</v>
      </c>
      <c r="F8">
        <f>37.92453853</f>
        <v>37.92453853</v>
      </c>
      <c r="G8">
        <f>35.5672702</f>
        <v>35.567270200000003</v>
      </c>
      <c r="H8">
        <f>7.483967822</f>
        <v>7.4839678220000003</v>
      </c>
      <c r="I8">
        <f>43.05123802</f>
        <v>43.05123802</v>
      </c>
      <c r="J8">
        <f>152.43806</f>
        <v>152.43806000000001</v>
      </c>
      <c r="K8">
        <f>5.4815325</f>
        <v>5.4815325000000001</v>
      </c>
      <c r="L8">
        <f>7575.2636</f>
        <v>7575.2636000000002</v>
      </c>
    </row>
    <row r="9" spans="1:12" x14ac:dyDescent="0.25">
      <c r="A9">
        <f>0.67</f>
        <v>0.67</v>
      </c>
      <c r="B9">
        <f>39.51576427</f>
        <v>39.515764269999998</v>
      </c>
      <c r="C9">
        <f>37.13704763</f>
        <v>37.137047629999998</v>
      </c>
      <c r="D9">
        <f>30.25664305</f>
        <v>30.256643050000001</v>
      </c>
      <c r="E9">
        <f>67.39369067</f>
        <v>67.393690669999998</v>
      </c>
      <c r="F9">
        <f>38.49915275</f>
        <v>38.49915275</v>
      </c>
      <c r="G9">
        <f>36.18163272</f>
        <v>36.181632720000003</v>
      </c>
      <c r="H9">
        <f>7.477275796</f>
        <v>7.4772757959999998</v>
      </c>
      <c r="I9">
        <f>43.65890852</f>
        <v>43.658908519999997</v>
      </c>
      <c r="J9">
        <f>149.90055</f>
        <v>149.90055000000001</v>
      </c>
      <c r="K9">
        <f>5.5758479</f>
        <v>5.5758479000000003</v>
      </c>
      <c r="L9">
        <f>7337.983</f>
        <v>7337.9830000000002</v>
      </c>
    </row>
    <row r="10" spans="1:12" x14ac:dyDescent="0.25">
      <c r="A10">
        <f>0.68</f>
        <v>0.68</v>
      </c>
      <c r="B10">
        <f>40.10555179</f>
        <v>40.10555179</v>
      </c>
      <c r="C10">
        <f>37.76768829</f>
        <v>37.767688290000002</v>
      </c>
      <c r="D10">
        <f>30.11582432</f>
        <v>30.115824320000002</v>
      </c>
      <c r="E10">
        <f>67.88351261</f>
        <v>67.883512609999997</v>
      </c>
      <c r="F10">
        <f>39.07376697</f>
        <v>39.073766970000001</v>
      </c>
      <c r="G10">
        <f>36.79604907</f>
        <v>36.796049070000002</v>
      </c>
      <c r="H10">
        <f>7.471056435</f>
        <v>7.4710564350000004</v>
      </c>
      <c r="I10">
        <f>44.2671055</f>
        <v>44.2671055</v>
      </c>
      <c r="J10">
        <f>147.21086</f>
        <v>147.21086</v>
      </c>
      <c r="K10">
        <f>5.6736001</f>
        <v>5.6736000999999998</v>
      </c>
      <c r="L10">
        <f>7100.3409</f>
        <v>7100.3409000000001</v>
      </c>
    </row>
    <row r="11" spans="1:12" x14ac:dyDescent="0.25">
      <c r="A11">
        <f>0.69</f>
        <v>0.69</v>
      </c>
      <c r="B11">
        <f>40.69533932</f>
        <v>40.695339320000002</v>
      </c>
      <c r="C11">
        <f>38.39839022</f>
        <v>38.398390220000003</v>
      </c>
      <c r="D11">
        <f>29.97479611</f>
        <v>29.97479611</v>
      </c>
      <c r="E11">
        <f>68.37318633</f>
        <v>68.373186329999996</v>
      </c>
      <c r="F11">
        <f>39.64838119</f>
        <v>39.648381190000002</v>
      </c>
      <c r="G11">
        <f>37.41052509</f>
        <v>37.41052509</v>
      </c>
      <c r="H11">
        <f>7.4653341</f>
        <v>7.4653340999999998</v>
      </c>
      <c r="I11">
        <f>44.87585919</f>
        <v>44.87585919</v>
      </c>
      <c r="J11">
        <f>144.36789</f>
        <v>144.36788999999999</v>
      </c>
      <c r="K11">
        <f>5.7749955</f>
        <v>5.7749955000000002</v>
      </c>
      <c r="L11">
        <f>6862.3016</f>
        <v>6862.3015999999998</v>
      </c>
    </row>
    <row r="12" spans="1:12" x14ac:dyDescent="0.25">
      <c r="A12">
        <f>0.7</f>
        <v>0.7</v>
      </c>
      <c r="B12">
        <f>41.28512684</f>
        <v>41.285126839999997</v>
      </c>
      <c r="C12">
        <f>39.02916034</f>
        <v>39.029160339999997</v>
      </c>
      <c r="D12">
        <f>29.83353458</f>
        <v>29.833534579999998</v>
      </c>
      <c r="E12">
        <f>68.86269492</f>
        <v>68.862694919999996</v>
      </c>
      <c r="F12">
        <f>40.22299541</f>
        <v>40.222995410000003</v>
      </c>
      <c r="G12">
        <f>38.02506756</f>
        <v>38.025067559999997</v>
      </c>
      <c r="H12">
        <f>7.460135073</f>
        <v>7.460135073</v>
      </c>
      <c r="I12">
        <f>45.48520263</f>
        <v>45.485202630000003</v>
      </c>
      <c r="J12">
        <f>141.37043</f>
        <v>141.37043</v>
      </c>
      <c r="K12">
        <f>5.8802594</f>
        <v>5.8802593999999999</v>
      </c>
      <c r="L12">
        <f>6623.8243</f>
        <v>6623.8243000000002</v>
      </c>
    </row>
    <row r="13" spans="1:12" x14ac:dyDescent="0.25">
      <c r="A13">
        <f>0.71</f>
        <v>0.71</v>
      </c>
      <c r="B13">
        <f>41.87491437</f>
        <v>41.874914369999999</v>
      </c>
      <c r="C13">
        <f>39.66000673</f>
        <v>39.660006729999999</v>
      </c>
      <c r="D13">
        <f>29.69201205</f>
        <v>29.692012049999999</v>
      </c>
      <c r="E13">
        <f>69.35201878</f>
        <v>69.352018779999995</v>
      </c>
      <c r="F13">
        <f>40.79760963</f>
        <v>40.797609629999997</v>
      </c>
      <c r="G13">
        <f>38.63968433</f>
        <v>38.639684330000001</v>
      </c>
      <c r="H13">
        <f>7.455487793</f>
        <v>7.4554877929999996</v>
      </c>
      <c r="I13">
        <f>46.09517212</f>
        <v>46.095172120000001</v>
      </c>
      <c r="J13">
        <f>138.21704</f>
        <v>138.21704</v>
      </c>
      <c r="K13">
        <f>5.9896389</f>
        <v>5.9896389000000001</v>
      </c>
      <c r="L13">
        <f>6384.8621</f>
        <v>6384.8621000000003</v>
      </c>
    </row>
    <row r="14" spans="1:12" x14ac:dyDescent="0.25">
      <c r="A14">
        <f>0.72</f>
        <v>0.72</v>
      </c>
      <c r="B14">
        <f>42.4647019</f>
        <v>42.464701900000001</v>
      </c>
      <c r="C14">
        <f>40.2909388</f>
        <v>40.290938799999999</v>
      </c>
      <c r="D14">
        <f>29.55019616</f>
        <v>29.550196159999999</v>
      </c>
      <c r="E14">
        <f>69.84113496</f>
        <v>69.841134960000005</v>
      </c>
      <c r="F14">
        <f>41.37222385</f>
        <v>41.372223849999997</v>
      </c>
      <c r="G14">
        <f>39.25438458</f>
        <v>39.25438458</v>
      </c>
      <c r="H14">
        <f>7.451423129</f>
        <v>7.4514231290000001</v>
      </c>
      <c r="I14">
        <f>46.70580771</f>
        <v>46.705807710000002</v>
      </c>
      <c r="J14">
        <f>134.90611</f>
        <v>134.90611000000001</v>
      </c>
      <c r="K14">
        <f>6.1034061</f>
        <v>6.1034060999999999</v>
      </c>
      <c r="L14">
        <f>6145.361</f>
        <v>6145.3609999999999</v>
      </c>
    </row>
    <row r="15" spans="1:12" x14ac:dyDescent="0.25">
      <c r="A15">
        <f>0.73</f>
        <v>0.73</v>
      </c>
      <c r="B15">
        <f>43.05448942</f>
        <v>43.054489420000003</v>
      </c>
      <c r="C15">
        <f>40.92196764</f>
        <v>40.921967639999998</v>
      </c>
      <c r="D15">
        <f>29.40804881</f>
        <v>29.40804881</v>
      </c>
      <c r="E15">
        <f>70.33001645</f>
        <v>70.330016450000002</v>
      </c>
      <c r="F15">
        <f>41.94683807</f>
        <v>41.946838069999998</v>
      </c>
      <c r="G15">
        <f>39.86917911</f>
        <v>39.869179109999997</v>
      </c>
      <c r="H15">
        <f>7.447974712</f>
        <v>7.4479747119999997</v>
      </c>
      <c r="I15">
        <f>47.31715382</f>
        <v>47.317153820000001</v>
      </c>
      <c r="J15">
        <f>131.43574</f>
        <v>131.43574000000001</v>
      </c>
      <c r="K15">
        <f>6.221862</f>
        <v>6.2218619999999998</v>
      </c>
      <c r="L15">
        <f>5905.2579</f>
        <v>5905.2578999999996</v>
      </c>
    </row>
    <row r="16" spans="1:12" x14ac:dyDescent="0.25">
      <c r="A16">
        <f>0.74</f>
        <v>0.74</v>
      </c>
      <c r="B16">
        <f>43.64427695</f>
        <v>43.644276949999998</v>
      </c>
      <c r="C16">
        <f>41.55310639</f>
        <v>41.553106390000004</v>
      </c>
      <c r="D16">
        <f>29.26552492</f>
        <v>29.265524920000001</v>
      </c>
      <c r="E16">
        <f>70.8186313</f>
        <v>70.818631300000007</v>
      </c>
      <c r="F16">
        <f>42.52145229</f>
        <v>42.521452289999999</v>
      </c>
      <c r="G16">
        <f>40.48408072</f>
        <v>40.484080720000001</v>
      </c>
      <c r="H16">
        <f>7.445179377</f>
        <v>7.4451793769999997</v>
      </c>
      <c r="I16">
        <f>47.9292601</f>
        <v>47.9292601</v>
      </c>
      <c r="J16">
        <f>127.8037</f>
        <v>127.80370000000001</v>
      </c>
      <c r="K16">
        <f>6.3453417</f>
        <v>6.3453416999999996</v>
      </c>
      <c r="L16">
        <f>5664.4793</f>
        <v>5664.4793</v>
      </c>
    </row>
    <row r="17" spans="1:12" x14ac:dyDescent="0.25">
      <c r="A17">
        <f>0.75</f>
        <v>0.75</v>
      </c>
      <c r="B17">
        <f>44.23406448</f>
        <v>44.234064480000001</v>
      </c>
      <c r="C17">
        <f>42.18437074</f>
        <v>42.184370739999999</v>
      </c>
      <c r="D17">
        <f>29.12257047</f>
        <v>29.122570469999999</v>
      </c>
      <c r="E17">
        <f>71.30694121</f>
        <v>71.306941210000005</v>
      </c>
      <c r="F17">
        <f>43.09606651</f>
        <v>43.09606651</v>
      </c>
      <c r="G17">
        <f>41.0991047</f>
        <v>41.099104699999998</v>
      </c>
      <c r="H17">
        <f>7.443077619</f>
        <v>7.4430776190000003</v>
      </c>
      <c r="I17">
        <f>48.54218232</f>
        <v>48.542182320000002</v>
      </c>
      <c r="J17">
        <f>124.00741</f>
        <v>124.00740999999999</v>
      </c>
      <c r="K17">
        <f>6.47422</f>
        <v>6.4742199999999999</v>
      </c>
      <c r="L17">
        <f>5422.938</f>
        <v>5422.9380000000001</v>
      </c>
    </row>
    <row r="18" spans="1:12" x14ac:dyDescent="0.25">
      <c r="A18">
        <f>0.76</f>
        <v>0.76</v>
      </c>
      <c r="B18">
        <f>44.823852</f>
        <v>44.823852000000002</v>
      </c>
      <c r="C18">
        <f>42.81577966</f>
        <v>42.815779659999997</v>
      </c>
      <c r="D18">
        <f>28.97912033</f>
        <v>28.979120330000001</v>
      </c>
      <c r="E18">
        <f>71.79489998</f>
        <v>71.794899979999997</v>
      </c>
      <c r="F18">
        <f>43.67068074</f>
        <v>43.670680740000002</v>
      </c>
      <c r="G18">
        <f>41.71426953</f>
        <v>41.714269530000003</v>
      </c>
      <c r="H18">
        <f>7.441714257</f>
        <v>7.4417142570000001</v>
      </c>
      <c r="I18">
        <f>49.15598379</f>
        <v>49.155983790000001</v>
      </c>
      <c r="J18">
        <f>120.04375</f>
        <v>120.04375</v>
      </c>
      <c r="K18">
        <f>6.6089196</f>
        <v>6.6089196000000001</v>
      </c>
      <c r="L18">
        <f>5180.5306</f>
        <v>5180.5306</v>
      </c>
    </row>
    <row r="19" spans="1:12" x14ac:dyDescent="0.25">
      <c r="A19">
        <f>0.77</f>
        <v>0.77</v>
      </c>
      <c r="B19">
        <f>45.41363953</f>
        <v>45.413639529999998</v>
      </c>
      <c r="C19">
        <f>43.44735625</f>
        <v>43.447356249999999</v>
      </c>
      <c r="D19">
        <f>28.835095</f>
        <v>28.835094999999999</v>
      </c>
      <c r="E19">
        <f>72.28245125</f>
        <v>72.282451249999994</v>
      </c>
      <c r="F19">
        <f>44.24529496</f>
        <v>44.245294960000003</v>
      </c>
      <c r="G19">
        <f>42.32959772</f>
        <v>42.329597720000002</v>
      </c>
      <c r="H19">
        <f>7.441139248</f>
        <v>7.4411392479999998</v>
      </c>
      <c r="I19">
        <f>49.77073697</f>
        <v>49.770736970000002</v>
      </c>
      <c r="J19">
        <f>115.90902</f>
        <v>115.90902</v>
      </c>
      <c r="K19">
        <f>6.749921</f>
        <v>6.7499209999999996</v>
      </c>
      <c r="L19">
        <f>4937.1326</f>
        <v>4937.1325999999999</v>
      </c>
    </row>
    <row r="20" spans="1:12" x14ac:dyDescent="0.25">
      <c r="A20">
        <f>0.78</f>
        <v>0.78</v>
      </c>
      <c r="B20">
        <f>46.00342706</f>
        <v>46.00342706</v>
      </c>
      <c r="C20">
        <f>44.07912905</f>
        <v>44.079129049999999</v>
      </c>
      <c r="D20">
        <f>28.69039638</f>
        <v>28.690396379999999</v>
      </c>
      <c r="E20">
        <f>72.76952544</f>
        <v>72.769525439999995</v>
      </c>
      <c r="F20">
        <f>44.81990918</f>
        <v>44.819909180000003</v>
      </c>
      <c r="G20">
        <f>42.94511707</f>
        <v>42.945117070000002</v>
      </c>
      <c r="H20">
        <f>7.44140874</f>
        <v>7.44140874</v>
      </c>
      <c r="I20">
        <f>50.38652581</f>
        <v>50.386525810000002</v>
      </c>
      <c r="J20">
        <f>111.59871</f>
        <v>111.59871</v>
      </c>
      <c r="K20">
        <f>6.8977762</f>
        <v>6.8977762</v>
      </c>
      <c r="L20">
        <f>4692.5927</f>
        <v>4692.5927000000001</v>
      </c>
    </row>
    <row r="21" spans="1:12" x14ac:dyDescent="0.25">
      <c r="A21">
        <f>0.79</f>
        <v>0.79</v>
      </c>
      <c r="B21">
        <f>46.59321458</f>
        <v>46.593214580000001</v>
      </c>
      <c r="C21">
        <f>44.71113374</f>
        <v>44.711133740000001</v>
      </c>
      <c r="D21">
        <f>28.54490174</f>
        <v>28.54490174</v>
      </c>
      <c r="E21">
        <f>73.25603549</f>
        <v>73.256035490000002</v>
      </c>
      <c r="F21">
        <f>45.3945234</f>
        <v>45.394523399999997</v>
      </c>
      <c r="G21">
        <f>43.56086235</f>
        <v>43.560862350000001</v>
      </c>
      <c r="H21">
        <f>7.442586505</f>
        <v>7.4425865050000004</v>
      </c>
      <c r="I21">
        <f>51.00344885</f>
        <v>51.003448849999998</v>
      </c>
      <c r="J21">
        <f>107.1073</f>
        <v>107.1073</v>
      </c>
      <c r="K21">
        <f>7.0531263</f>
        <v>7.0531262999999997</v>
      </c>
      <c r="L21">
        <f>4446.7246</f>
        <v>4446.7245999999996</v>
      </c>
    </row>
    <row r="22" spans="1:12" x14ac:dyDescent="0.25">
      <c r="A22">
        <f>0.8</f>
        <v>0.8</v>
      </c>
      <c r="B22">
        <f>47.18300211</f>
        <v>47.183002109999997</v>
      </c>
      <c r="C22">
        <f>45.34341565</f>
        <v>45.343415649999997</v>
      </c>
      <c r="D22">
        <f>28.39845513</f>
        <v>28.398455129999999</v>
      </c>
      <c r="E22">
        <f>73.74187078</f>
        <v>73.741870779999999</v>
      </c>
      <c r="F22">
        <f>45.96913762</f>
        <v>45.969137619999998</v>
      </c>
      <c r="G22">
        <f>44.17687771</f>
        <v>44.176877709999999</v>
      </c>
      <c r="H22">
        <f>7.444745888</f>
        <v>7.4447458879999999</v>
      </c>
      <c r="I22">
        <f>51.6216236</f>
        <v>51.621623599999999</v>
      </c>
      <c r="J22">
        <f>102.42788</f>
        <v>102.42788</v>
      </c>
      <c r="K22">
        <f>7.2167271</f>
        <v>7.2167271</v>
      </c>
      <c r="L22">
        <f>4199.2959</f>
        <v>4199.2959000000001</v>
      </c>
    </row>
    <row r="23" spans="1:12" x14ac:dyDescent="0.25">
      <c r="A23">
        <f>0.81</f>
        <v>0.81</v>
      </c>
      <c r="B23">
        <f>47.77278963</f>
        <v>47.772789629999998</v>
      </c>
      <c r="C23">
        <f>45.97603341</f>
        <v>45.976033409999999</v>
      </c>
      <c r="D23">
        <f>28.2508548</f>
        <v>28.250854799999999</v>
      </c>
      <c r="E23">
        <f>74.22688821</f>
        <v>74.226888209999998</v>
      </c>
      <c r="F23">
        <f>46.54375184</f>
        <v>46.543751839999999</v>
      </c>
      <c r="G23">
        <f>44.79322028</f>
        <v>44.79322028</v>
      </c>
      <c r="H23">
        <f>7.447972585</f>
        <v>7.4479725849999996</v>
      </c>
      <c r="I23">
        <f>52.24119287</f>
        <v>52.241192869999999</v>
      </c>
      <c r="J23">
        <f>97.551752</f>
        <v>97.551751999999993</v>
      </c>
      <c r="K23">
        <f>7.3894845</f>
        <v>7.3894845</v>
      </c>
      <c r="L23">
        <f>3950.0112</f>
        <v>3950.0111999999999</v>
      </c>
    </row>
    <row r="24" spans="1:12" x14ac:dyDescent="0.25">
      <c r="A24">
        <f>0.82</f>
        <v>0.82</v>
      </c>
      <c r="B24">
        <f>48.36257716</f>
        <v>48.362577160000001</v>
      </c>
      <c r="C24">
        <f>46.60906448</f>
        <v>46.609064480000001</v>
      </c>
      <c r="D24">
        <f>28.10183418</f>
        <v>28.101834180000001</v>
      </c>
      <c r="E24">
        <f>74.71089866</f>
        <v>74.710898659999998</v>
      </c>
      <c r="F24">
        <f>47.11836606</f>
        <v>47.11836606</v>
      </c>
      <c r="G24">
        <f>45.40996553</f>
        <v>45.409965530000001</v>
      </c>
      <c r="H24">
        <f>7.452368708</f>
        <v>7.4523687079999998</v>
      </c>
      <c r="I24">
        <f>52.86233424</f>
        <v>52.862334240000003</v>
      </c>
      <c r="J24">
        <f>92.467645</f>
        <v>92.467645000000005</v>
      </c>
      <c r="K24">
        <f>7.572508</f>
        <v>7.572508</v>
      </c>
      <c r="L24">
        <f>3698.488</f>
        <v>3698.4879999999998</v>
      </c>
    </row>
    <row r="25" spans="1:12" x14ac:dyDescent="0.25">
      <c r="A25">
        <f>0.83</f>
        <v>0.83</v>
      </c>
      <c r="B25">
        <f>48.95236469</f>
        <v>48.952364690000003</v>
      </c>
      <c r="C25">
        <f>47.2426113</f>
        <v>47.2426113</v>
      </c>
      <c r="D25">
        <f>27.95104072</f>
        <v>27.951040720000002</v>
      </c>
      <c r="E25">
        <f>75.19365202</f>
        <v>75.193652020000002</v>
      </c>
      <c r="F25">
        <f>47.69298028</f>
        <v>47.69298028</v>
      </c>
      <c r="G25">
        <f>46.02721325</f>
        <v>46.027213250000003</v>
      </c>
      <c r="H25">
        <f>7.458058647</f>
        <v>7.4580586469999997</v>
      </c>
      <c r="I25">
        <f>53.4852719</f>
        <v>53.485271900000001</v>
      </c>
      <c r="J25">
        <f>87.164674</f>
        <v>87.164674000000005</v>
      </c>
      <c r="K25">
        <f>7.7671807</f>
        <v>7.7671806999999999</v>
      </c>
      <c r="L25">
        <f>3444.3771</f>
        <v>3444.3771000000002</v>
      </c>
    </row>
    <row r="26" spans="1:12" x14ac:dyDescent="0.25">
      <c r="A26">
        <f>0.84</f>
        <v>0.84</v>
      </c>
      <c r="B26">
        <f>49.54215221</f>
        <v>49.542152209999998</v>
      </c>
      <c r="C26">
        <f>47.8768255</f>
        <v>47.876825500000002</v>
      </c>
      <c r="D26">
        <f>27.7979524</f>
        <v>27.7979524</v>
      </c>
      <c r="E26">
        <f>75.6747779</f>
        <v>75.674777899999995</v>
      </c>
      <c r="F26">
        <f>48.2675945</f>
        <v>48.267594500000001</v>
      </c>
      <c r="G26">
        <f>46.6451112</f>
        <v>46.645111200000002</v>
      </c>
      <c r="H26">
        <f>7.465200441</f>
        <v>7.4652004410000004</v>
      </c>
      <c r="I26">
        <f>54.11031164</f>
        <v>54.110311639999999</v>
      </c>
      <c r="J26">
        <f>81.614124</f>
        <v>81.614124000000004</v>
      </c>
      <c r="K26">
        <f>7.9753363</f>
        <v>7.9753363000000004</v>
      </c>
      <c r="L26">
        <f>3186.6496</f>
        <v>3186.6496000000002</v>
      </c>
    </row>
    <row r="27" spans="1:12" x14ac:dyDescent="0.25">
      <c r="A27">
        <f>0.85</f>
        <v>0.85</v>
      </c>
      <c r="B27">
        <f>50.13193974</f>
        <v>50.13193974</v>
      </c>
      <c r="C27">
        <f>48.51191763</f>
        <v>48.511917629999999</v>
      </c>
      <c r="D27">
        <f>27.64184441</f>
        <v>27.641844410000001</v>
      </c>
      <c r="E27">
        <f>76.15376204</f>
        <v>76.153762040000004</v>
      </c>
      <c r="F27">
        <f>48.84220872</f>
        <v>48.842208720000002</v>
      </c>
      <c r="G27">
        <f>47.26386448</f>
        <v>47.263864480000002</v>
      </c>
      <c r="H27">
        <f>7.474000888</f>
        <v>7.474000888</v>
      </c>
      <c r="I27">
        <f>54.73786537</f>
        <v>54.737865370000002</v>
      </c>
      <c r="J27">
        <f>75.791921</f>
        <v>75.791921000000002</v>
      </c>
      <c r="K27">
        <f>8.1994179</f>
        <v>8.1994179000000003</v>
      </c>
      <c r="L27">
        <f>2924.5043</f>
        <v>2924.5043000000001</v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N15" sqref="N15"/>
    </sheetView>
  </sheetViews>
  <sheetFormatPr defaultRowHeight="15" x14ac:dyDescent="0.25"/>
  <sheetData>
    <row r="1" spans="1:12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</row>
    <row r="2" spans="1:12" x14ac:dyDescent="0.25">
      <c r="A2">
        <f>0.6</f>
        <v>0.6</v>
      </c>
      <c r="B2">
        <f>35.84682628</f>
        <v>35.846826280000002</v>
      </c>
      <c r="C2">
        <f>33.14815973</f>
        <v>33.148159730000003</v>
      </c>
      <c r="D2">
        <f>30.333768</f>
        <v>30.333767999999999</v>
      </c>
      <c r="E2">
        <f>63.48192773</f>
        <v>63.481927730000002</v>
      </c>
      <c r="F2">
        <f>34.92460455</f>
        <v>34.924604549999998</v>
      </c>
      <c r="G2">
        <f>32.29536588</f>
        <v>32.295365879999999</v>
      </c>
      <c r="H2">
        <f>7.220251623</f>
        <v>7.2202516230000002</v>
      </c>
      <c r="I2">
        <f>39.5156175</f>
        <v>39.515617499999998</v>
      </c>
      <c r="J2">
        <f>164.00691</f>
        <v>164.00691</v>
      </c>
      <c r="K2">
        <f>4.9767267</f>
        <v>4.9767267000000004</v>
      </c>
      <c r="L2">
        <f>8965.1832</f>
        <v>8965.1831999999995</v>
      </c>
    </row>
    <row r="3" spans="1:12" x14ac:dyDescent="0.25">
      <c r="A3">
        <f>0.61</f>
        <v>0.61</v>
      </c>
      <c r="B3">
        <f>36.44427338</f>
        <v>36.444273379999998</v>
      </c>
      <c r="C3">
        <f>33.78669423</f>
        <v>33.786694230000002</v>
      </c>
      <c r="D3">
        <f>30.19213119</f>
        <v>30.192131190000001</v>
      </c>
      <c r="E3">
        <f>63.97882542</f>
        <v>63.97882542</v>
      </c>
      <c r="F3">
        <f>35.50668129</f>
        <v>35.506681290000003</v>
      </c>
      <c r="G3">
        <f>32.91747297</f>
        <v>32.917472969999999</v>
      </c>
      <c r="H3">
        <f>7.209653339</f>
        <v>7.2096533389999999</v>
      </c>
      <c r="I3">
        <f>40.12712631</f>
        <v>40.127126310000001</v>
      </c>
      <c r="J3">
        <f>162.35559</f>
        <v>162.35559000000001</v>
      </c>
      <c r="K3">
        <f>5.0538892</f>
        <v>5.0538892000000004</v>
      </c>
      <c r="L3">
        <f>8729.4259</f>
        <v>8729.4259000000002</v>
      </c>
    </row>
    <row r="4" spans="1:12" x14ac:dyDescent="0.25">
      <c r="A4">
        <f>0.62</f>
        <v>0.62</v>
      </c>
      <c r="B4">
        <f>37.04172049</f>
        <v>37.041720490000003</v>
      </c>
      <c r="C4">
        <f>34.42526133</f>
        <v>34.425261329999998</v>
      </c>
      <c r="D4">
        <f>30.05038318</f>
        <v>30.050383180000001</v>
      </c>
      <c r="E4">
        <f>64.47564451</f>
        <v>64.475644509999995</v>
      </c>
      <c r="F4">
        <f>36.08875804</f>
        <v>36.088758040000002</v>
      </c>
      <c r="G4">
        <f>33.53961183</f>
        <v>33.539611829999998</v>
      </c>
      <c r="H4">
        <f>7.199378023</f>
        <v>7.1993780230000004</v>
      </c>
      <c r="I4">
        <f>40.73898985</f>
        <v>40.738989850000003</v>
      </c>
      <c r="J4">
        <f>160.55626</f>
        <v>160.55626000000001</v>
      </c>
      <c r="K4">
        <f>5.1335462</f>
        <v>5.1335461999999996</v>
      </c>
      <c r="L4">
        <f>8493.444</f>
        <v>8493.4439999999995</v>
      </c>
    </row>
    <row r="5" spans="1:12" x14ac:dyDescent="0.25">
      <c r="A5">
        <f>0.63</f>
        <v>0.63</v>
      </c>
      <c r="B5">
        <f>37.63916759</f>
        <v>37.63916759</v>
      </c>
      <c r="C5">
        <f>35.06386392</f>
        <v>35.063863920000003</v>
      </c>
      <c r="D5">
        <f>29.90851404</f>
        <v>29.90851404</v>
      </c>
      <c r="E5">
        <f>64.97237796</f>
        <v>64.972377960000003</v>
      </c>
      <c r="F5">
        <f>36.67083478</f>
        <v>36.67083478</v>
      </c>
      <c r="G5">
        <f>34.16178525</f>
        <v>34.161785250000001</v>
      </c>
      <c r="H5">
        <f>7.189440294</f>
        <v>7.1894402939999997</v>
      </c>
      <c r="I5">
        <f>41.35122555</f>
        <v>41.351225550000002</v>
      </c>
      <c r="J5">
        <f>158.60836</f>
        <v>158.60836</v>
      </c>
      <c r="K5">
        <f>5.2158266</f>
        <v>5.2158265999999998</v>
      </c>
      <c r="L5">
        <f>8257.2191</f>
        <v>8257.2191000000003</v>
      </c>
    </row>
    <row r="6" spans="1:12" x14ac:dyDescent="0.25">
      <c r="A6">
        <f>0.64</f>
        <v>0.64</v>
      </c>
      <c r="B6">
        <f>38.2366147</f>
        <v>38.236614699999997</v>
      </c>
      <c r="C6">
        <f>35.70250524</f>
        <v>35.702505240000001</v>
      </c>
      <c r="D6">
        <f>29.76651263</f>
        <v>29.766512630000001</v>
      </c>
      <c r="E6">
        <f>65.46901787</f>
        <v>65.469017870000002</v>
      </c>
      <c r="F6">
        <f>37.25291152</f>
        <v>37.252911519999998</v>
      </c>
      <c r="G6">
        <f>34.78399643</f>
        <v>34.783996430000002</v>
      </c>
      <c r="H6">
        <f>7.179855729</f>
        <v>7.1798557289999998</v>
      </c>
      <c r="I6">
        <f>41.96385216</f>
        <v>41.963852160000002</v>
      </c>
      <c r="J6">
        <f>156.51128</f>
        <v>156.51128</v>
      </c>
      <c r="K6">
        <f>5.3008688</f>
        <v>5.3008687999999999</v>
      </c>
      <c r="L6">
        <f>8020.731</f>
        <v>8020.7309999999998</v>
      </c>
    </row>
    <row r="7" spans="1:12" x14ac:dyDescent="0.25">
      <c r="A7">
        <f>0.65</f>
        <v>0.65</v>
      </c>
      <c r="B7">
        <f>38.8340618</f>
        <v>38.834061800000001</v>
      </c>
      <c r="C7">
        <f>36.34118899</f>
        <v>36.341188989999999</v>
      </c>
      <c r="D7">
        <f>29.62436634</f>
        <v>29.624366340000002</v>
      </c>
      <c r="E7">
        <f>65.96555532</f>
        <v>65.965555320000007</v>
      </c>
      <c r="F7">
        <f>37.83498827</f>
        <v>37.834988269999997</v>
      </c>
      <c r="G7">
        <f>35.40624892</f>
        <v>35.406248920000003</v>
      </c>
      <c r="H7">
        <f>7.170640944</f>
        <v>7.1706409439999996</v>
      </c>
      <c r="I7">
        <f>42.57688987</f>
        <v>42.576889870000002</v>
      </c>
      <c r="J7">
        <f>154.26432</f>
        <v>154.26432</v>
      </c>
      <c r="K7">
        <f>5.3888221</f>
        <v>5.3888220999999996</v>
      </c>
      <c r="L7">
        <f>7783.9568</f>
        <v>7783.9567999999999</v>
      </c>
    </row>
    <row r="8" spans="1:12" x14ac:dyDescent="0.25">
      <c r="A8">
        <f>0.66</f>
        <v>0.66</v>
      </c>
      <c r="B8">
        <f>39.4315089</f>
        <v>39.431508899999997</v>
      </c>
      <c r="C8">
        <f>36.9799193</f>
        <v>36.979919299999999</v>
      </c>
      <c r="D8">
        <f>29.4820609</f>
        <v>29.4820609</v>
      </c>
      <c r="E8">
        <f>66.4619802</f>
        <v>66.461980199999999</v>
      </c>
      <c r="F8">
        <f>38.41706501</f>
        <v>38.417065010000002</v>
      </c>
      <c r="G8">
        <f>36.0285468</f>
        <v>36.028546800000001</v>
      </c>
      <c r="H8">
        <f>7.161813701</f>
        <v>7.1618137009999998</v>
      </c>
      <c r="I8">
        <f>43.1903605</f>
        <v>43.190360499999997</v>
      </c>
      <c r="J8">
        <f>151.86671</f>
        <v>151.86671000000001</v>
      </c>
      <c r="K8">
        <f>5.4798477</f>
        <v>5.4798476999999997</v>
      </c>
      <c r="L8">
        <f>7546.871</f>
        <v>7546.8710000000001</v>
      </c>
    </row>
    <row r="9" spans="1:12" x14ac:dyDescent="0.25">
      <c r="A9">
        <f>0.67</f>
        <v>0.67</v>
      </c>
      <c r="B9">
        <f>40.02895601</f>
        <v>40.028956010000002</v>
      </c>
      <c r="C9">
        <f>37.61870093</f>
        <v>37.618700930000003</v>
      </c>
      <c r="D9">
        <f>29.33958008</f>
        <v>29.339580080000001</v>
      </c>
      <c r="E9">
        <f>66.95828101</f>
        <v>66.958281009999993</v>
      </c>
      <c r="F9">
        <f>38.99914175</f>
        <v>38.99914175</v>
      </c>
      <c r="G9">
        <f>36.65089466</f>
        <v>36.650894659999999</v>
      </c>
      <c r="H9">
        <f>7.153393015</f>
        <v>7.1533930149999998</v>
      </c>
      <c r="I9">
        <f>43.80428768</f>
        <v>43.804287680000002</v>
      </c>
      <c r="J9">
        <f>149.31757</f>
        <v>149.31756999999999</v>
      </c>
      <c r="K9">
        <f>5.5741203</f>
        <v>5.5741202999999997</v>
      </c>
      <c r="L9">
        <f>7309.4447</f>
        <v>7309.4447</v>
      </c>
    </row>
    <row r="10" spans="1:12" x14ac:dyDescent="0.25">
      <c r="A10">
        <f>0.68</f>
        <v>0.68</v>
      </c>
      <c r="B10">
        <f>40.62640311</f>
        <v>40.626403109999998</v>
      </c>
      <c r="C10">
        <f>38.25753928</f>
        <v>38.257539280000003</v>
      </c>
      <c r="D10">
        <f>29.19690529</f>
        <v>29.19690529</v>
      </c>
      <c r="E10">
        <f>67.45444458</f>
        <v>67.454444580000001</v>
      </c>
      <c r="F10">
        <f>39.58121849</f>
        <v>39.581218489999998</v>
      </c>
      <c r="G10">
        <f>37.27329779</f>
        <v>37.273297790000001</v>
      </c>
      <c r="H10">
        <f>7.145399292</f>
        <v>7.1453992919999996</v>
      </c>
      <c r="I10">
        <f>44.41869708</f>
        <v>44.418697080000001</v>
      </c>
      <c r="J10">
        <f>146.61591</f>
        <v>146.61591000000001</v>
      </c>
      <c r="K10">
        <f>5.6718296</f>
        <v>5.6718295999999997</v>
      </c>
      <c r="L10">
        <f>7071.6453</f>
        <v>7071.6453000000001</v>
      </c>
    </row>
    <row r="11" spans="1:12" x14ac:dyDescent="0.25">
      <c r="A11">
        <f>0.69</f>
        <v>0.69</v>
      </c>
      <c r="B11">
        <f>41.22385022</f>
        <v>41.223850220000003</v>
      </c>
      <c r="C11">
        <f>38.89644057</f>
        <v>38.896440570000003</v>
      </c>
      <c r="D11">
        <f>29.05401521</f>
        <v>29.054015209999999</v>
      </c>
      <c r="E11">
        <f>67.95045578</f>
        <v>67.950455779999999</v>
      </c>
      <c r="F11">
        <f>40.16329524</f>
        <v>40.163295239999997</v>
      </c>
      <c r="G11">
        <f>37.89576223</f>
        <v>37.895762230000003</v>
      </c>
      <c r="H11">
        <f>7.137854474</f>
        <v>7.1378544740000001</v>
      </c>
      <c r="I11">
        <f>45.03361671</f>
        <v>45.033616709999997</v>
      </c>
      <c r="J11">
        <f>143.76061</f>
        <v>143.76061000000001</v>
      </c>
      <c r="K11">
        <f>5.7731822</f>
        <v>5.7731821999999999</v>
      </c>
      <c r="L11">
        <f>6833.4355</f>
        <v>6833.4354999999996</v>
      </c>
    </row>
    <row r="12" spans="1:12" x14ac:dyDescent="0.25">
      <c r="A12">
        <f>0.7</f>
        <v>0.7</v>
      </c>
      <c r="B12">
        <f>41.82129732</f>
        <v>41.821297319999999</v>
      </c>
      <c r="C12">
        <f>39.53541198</f>
        <v>39.535411979999999</v>
      </c>
      <c r="D12">
        <f>28.91088515</f>
        <v>28.910885149999999</v>
      </c>
      <c r="E12">
        <f>68.44629714</f>
        <v>68.446297139999999</v>
      </c>
      <c r="F12">
        <f>40.74537198</f>
        <v>40.745371980000002</v>
      </c>
      <c r="G12">
        <f>38.518295</f>
        <v>38.518295000000002</v>
      </c>
      <c r="H12">
        <f>7.130782216</f>
        <v>7.1307822160000001</v>
      </c>
      <c r="I12">
        <f>45.64907721</f>
        <v>45.649077210000002</v>
      </c>
      <c r="J12">
        <f>140.75039</f>
        <v>140.75039000000001</v>
      </c>
      <c r="K12">
        <f>5.8784038</f>
        <v>5.8784038000000001</v>
      </c>
      <c r="L12">
        <f>6594.7729</f>
        <v>6594.7728999999999</v>
      </c>
    </row>
    <row r="13" spans="1:12" x14ac:dyDescent="0.25">
      <c r="A13">
        <f>0.71</f>
        <v>0.71</v>
      </c>
      <c r="B13">
        <f>42.41874443</f>
        <v>42.418744429999997</v>
      </c>
      <c r="C13">
        <f>40.17446186</f>
        <v>40.174461860000001</v>
      </c>
      <c r="D13">
        <f>28.76748647</f>
        <v>28.767486470000001</v>
      </c>
      <c r="E13">
        <f>68.94194833</f>
        <v>68.941948330000002</v>
      </c>
      <c r="F13">
        <f>41.32744872</f>
        <v>41.32744872</v>
      </c>
      <c r="G13">
        <f>39.14090422</f>
        <v>39.140904220000003</v>
      </c>
      <c r="H13">
        <f>7.124208096</f>
        <v>7.1242080960000003</v>
      </c>
      <c r="I13">
        <f>46.26511231</f>
        <v>46.265112309999999</v>
      </c>
      <c r="J13">
        <f>137.58377</f>
        <v>137.58376999999999</v>
      </c>
      <c r="K13">
        <f>5.9877422</f>
        <v>5.9877421999999996</v>
      </c>
      <c r="L13">
        <f>6355.6084</f>
        <v>6355.6084000000001</v>
      </c>
    </row>
    <row r="14" spans="1:12" x14ac:dyDescent="0.25">
      <c r="A14">
        <f>0.72</f>
        <v>0.72</v>
      </c>
      <c r="B14">
        <f>43.01619153</f>
        <v>43.01619153</v>
      </c>
      <c r="C14">
        <f>40.81359998</f>
        <v>40.813599979999999</v>
      </c>
      <c r="D14">
        <f>28.6237856</f>
        <v>28.623785600000001</v>
      </c>
      <c r="E14">
        <f>69.43738558</f>
        <v>69.437385579999997</v>
      </c>
      <c r="F14">
        <f>41.90952546</f>
        <v>41.909525459999998</v>
      </c>
      <c r="G14">
        <f>39.7635994</f>
        <v>39.763599399999997</v>
      </c>
      <c r="H14">
        <f>7.118159855</f>
        <v>7.118159855</v>
      </c>
      <c r="I14">
        <f>46.88175925</f>
        <v>46.881759250000002</v>
      </c>
      <c r="J14">
        <f>134.25905</f>
        <v>134.25905</v>
      </c>
      <c r="K14">
        <f>6.1014704</f>
        <v>6.1014704000000002</v>
      </c>
      <c r="L14">
        <f>6115.8856</f>
        <v>6115.8855999999996</v>
      </c>
    </row>
    <row r="15" spans="1:12" x14ac:dyDescent="0.25">
      <c r="A15">
        <f>0.73</f>
        <v>0.73</v>
      </c>
      <c r="B15">
        <f>43.61363864</f>
        <v>43.613638639999998</v>
      </c>
      <c r="C15">
        <f>41.45283784</f>
        <v>41.452837840000001</v>
      </c>
      <c r="D15">
        <f>28.47974301</f>
        <v>28.47974301</v>
      </c>
      <c r="E15">
        <f>69.93258084</f>
        <v>69.93258084</v>
      </c>
      <c r="F15">
        <f>42.49160221</f>
        <v>42.491602210000003</v>
      </c>
      <c r="G15">
        <f>40.38639175</f>
        <v>40.386391750000001</v>
      </c>
      <c r="H15">
        <f>7.112667685</f>
        <v>7.1126676849999999</v>
      </c>
      <c r="I15">
        <f>47.49905944</f>
        <v>47.499059440000003</v>
      </c>
      <c r="J15">
        <f>130.77426</f>
        <v>130.77426</v>
      </c>
      <c r="K15">
        <f>6.2198904</f>
        <v>6.2198903999999997</v>
      </c>
      <c r="L15">
        <f>5875.5385</f>
        <v>5875.5384999999997</v>
      </c>
    </row>
    <row r="16" spans="1:12" x14ac:dyDescent="0.25">
      <c r="A16">
        <f>0.74</f>
        <v>0.74</v>
      </c>
      <c r="B16">
        <f>44.21108574</f>
        <v>44.211085740000001</v>
      </c>
      <c r="C16">
        <f>42.09218908</f>
        <v>42.092189079999997</v>
      </c>
      <c r="D16">
        <f>28.33531182</f>
        <v>28.335311820000001</v>
      </c>
      <c r="E16">
        <f>70.4275009</f>
        <v>70.427500899999998</v>
      </c>
      <c r="F16">
        <f>43.07367895</f>
        <v>43.073678950000001</v>
      </c>
      <c r="G16">
        <f>41.00929458</f>
        <v>41.009294580000002</v>
      </c>
      <c r="H16">
        <f>7.107764624</f>
        <v>7.1077646239999996</v>
      </c>
      <c r="I16">
        <f>48.1170592</f>
        <v>48.1170592</v>
      </c>
      <c r="J16">
        <f>127.12707</f>
        <v>127.12707</v>
      </c>
      <c r="K16">
        <f>6.3433388</f>
        <v>6.3433387999999997</v>
      </c>
      <c r="L16">
        <f>5634.4899</f>
        <v>5634.4898999999996</v>
      </c>
    </row>
    <row r="17" spans="1:12" x14ac:dyDescent="0.25">
      <c r="A17">
        <f>0.75</f>
        <v>0.75</v>
      </c>
      <c r="B17">
        <f>44.80853285</f>
        <v>44.808532849999999</v>
      </c>
      <c r="C17">
        <f>42.73167007</f>
        <v>42.73167007</v>
      </c>
      <c r="D17">
        <f>28.19043581</f>
        <v>28.19043581</v>
      </c>
      <c r="E17">
        <f>70.92210588</f>
        <v>70.922105880000004</v>
      </c>
      <c r="F17">
        <f>43.65575569</f>
        <v>43.655755689999999</v>
      </c>
      <c r="G17">
        <f>41.63232381</f>
        <v>41.632323810000003</v>
      </c>
      <c r="H17">
        <f>7.103486945</f>
        <v>7.1034869450000002</v>
      </c>
      <c r="I17">
        <f>48.73581075</f>
        <v>48.735810749999999</v>
      </c>
      <c r="J17">
        <f>123.31477</f>
        <v>123.31477</v>
      </c>
      <c r="K17">
        <f>6.4721925</f>
        <v>6.4721925000000002</v>
      </c>
      <c r="L17">
        <f>5392.6483</f>
        <v>5392.6482999999998</v>
      </c>
    </row>
    <row r="18" spans="1:12" x14ac:dyDescent="0.25">
      <c r="A18">
        <f>0.76</f>
        <v>0.76</v>
      </c>
      <c r="B18">
        <f>45.40597995</f>
        <v>45.405979950000003</v>
      </c>
      <c r="C18">
        <f>43.37130056</f>
        <v>43.371300560000002</v>
      </c>
      <c r="D18">
        <f>28.04504702</f>
        <v>28.045047019999998</v>
      </c>
      <c r="E18">
        <f>71.41634758</f>
        <v>71.416347579999993</v>
      </c>
      <c r="F18">
        <f>44.23783243</f>
        <v>44.237832429999997</v>
      </c>
      <c r="G18">
        <f>42.2554987</f>
        <v>42.255498699999997</v>
      </c>
      <c r="H18">
        <f>7.099874743</f>
        <v>7.099874743</v>
      </c>
      <c r="I18">
        <f>49.35537344</f>
        <v>49.355373440000001</v>
      </c>
      <c r="J18">
        <f>119.33408</f>
        <v>119.33408</v>
      </c>
      <c r="K18">
        <f>6.6068768</f>
        <v>6.6068768000000002</v>
      </c>
      <c r="L18">
        <f>5149.9046</f>
        <v>5149.9045999999998</v>
      </c>
    </row>
    <row r="19" spans="1:12" x14ac:dyDescent="0.25">
      <c r="A19">
        <f>0.77</f>
        <v>0.77</v>
      </c>
      <c r="B19">
        <f>46.00342706</f>
        <v>46.00342706</v>
      </c>
      <c r="C19">
        <f>44.01110472</f>
        <v>44.011104719999999</v>
      </c>
      <c r="D19">
        <f>27.89906236</f>
        <v>27.899062359999999</v>
      </c>
      <c r="E19">
        <f>71.91016708</f>
        <v>71.910167079999994</v>
      </c>
      <c r="F19">
        <f>44.81990918</f>
        <v>44.819909180000003</v>
      </c>
      <c r="G19">
        <f>42.87884279</f>
        <v>42.87884279</v>
      </c>
      <c r="H19">
        <f>7.096972641</f>
        <v>7.0969726409999998</v>
      </c>
      <c r="I19">
        <f>49.97581543</f>
        <v>49.975815429999997</v>
      </c>
      <c r="J19">
        <f>115.18112</f>
        <v>115.18112000000001</v>
      </c>
      <c r="K19">
        <f>6.7478761</f>
        <v>6.7478761</v>
      </c>
      <c r="L19">
        <f>4906.1275</f>
        <v>4906.1274999999996</v>
      </c>
    </row>
    <row r="20" spans="1:12" x14ac:dyDescent="0.25">
      <c r="A20">
        <f>0.78</f>
        <v>0.78</v>
      </c>
      <c r="B20">
        <f>46.60087416</f>
        <v>46.600874159999996</v>
      </c>
      <c r="C20">
        <f>44.65111244</f>
        <v>44.651112439999999</v>
      </c>
      <c r="D20">
        <f>27.75237904</f>
        <v>27.752379040000001</v>
      </c>
      <c r="E20">
        <f>72.40349149</f>
        <v>72.403491489999993</v>
      </c>
      <c r="F20">
        <f>45.40198592</f>
        <v>45.401985920000001</v>
      </c>
      <c r="G20">
        <f>43.5023852</f>
        <v>43.502385199999999</v>
      </c>
      <c r="H20">
        <f>7.094830716</f>
        <v>7.0948307159999997</v>
      </c>
      <c r="I20">
        <f>50.59721591</f>
        <v>50.597215910000003</v>
      </c>
      <c r="J20">
        <f>110.85111</f>
        <v>110.85111000000001</v>
      </c>
      <c r="K20">
        <f>6.8957475</f>
        <v>6.8957474999999997</v>
      </c>
      <c r="L20">
        <f>4661.1567</f>
        <v>4661.1566999999995</v>
      </c>
    </row>
    <row r="21" spans="1:12" x14ac:dyDescent="0.25">
      <c r="A21">
        <f>0.79</f>
        <v>0.79</v>
      </c>
      <c r="B21">
        <f>47.19832126</f>
        <v>47.19832126</v>
      </c>
      <c r="C21">
        <f>45.2913612</f>
        <v>45.291361199999997</v>
      </c>
      <c r="D21">
        <f>27.60486812</f>
        <v>27.604868119999999</v>
      </c>
      <c r="E21">
        <f>72.89622932</f>
        <v>72.896229320000003</v>
      </c>
      <c r="F21">
        <f>45.98406266</f>
        <v>45.984062659999999</v>
      </c>
      <c r="G21">
        <f>44.12616245</f>
        <v>44.126162450000002</v>
      </c>
      <c r="H21">
        <f>7.093505744</f>
        <v>7.0935057439999998</v>
      </c>
      <c r="I21">
        <f>51.21966819</f>
        <v>51.21966819</v>
      </c>
      <c r="J21">
        <f>106.3382</f>
        <v>106.3382</v>
      </c>
      <c r="K21">
        <f>7.0511396</f>
        <v>7.0511396</v>
      </c>
      <c r="L21">
        <f>4414.7945</f>
        <v>4414.7945</v>
      </c>
    </row>
    <row r="22" spans="1:12" x14ac:dyDescent="0.25">
      <c r="A22">
        <f>0.8</f>
        <v>0.8</v>
      </c>
      <c r="B22">
        <f>47.79576837</f>
        <v>47.795768369999998</v>
      </c>
      <c r="C22">
        <f>45.93189877</f>
        <v>45.931898769999997</v>
      </c>
      <c r="D22">
        <f>27.45636518</f>
        <v>27.456365179999999</v>
      </c>
      <c r="E22">
        <f>73.38826396</f>
        <v>73.388263960000003</v>
      </c>
      <c r="F22">
        <f>46.5661394</f>
        <v>46.566139399999997</v>
      </c>
      <c r="G22">
        <f>44.75022108</f>
        <v>44.750221080000003</v>
      </c>
      <c r="H22">
        <f>7.093062911</f>
        <v>7.0930629109999996</v>
      </c>
      <c r="I22">
        <f>51.84328399</f>
        <v>51.843283990000003</v>
      </c>
      <c r="J22">
        <f>101.63507</f>
        <v>101.63507</v>
      </c>
      <c r="K22">
        <f>7.214819</f>
        <v>7.2148190000000003</v>
      </c>
      <c r="L22">
        <f>4166.7927</f>
        <v>4166.7927</v>
      </c>
    </row>
    <row r="23" spans="1:12" x14ac:dyDescent="0.25">
      <c r="A23">
        <f>0.81</f>
        <v>0.81</v>
      </c>
      <c r="B23">
        <f>48.39321547</f>
        <v>48.393215470000001</v>
      </c>
      <c r="C23">
        <f>46.57278721</f>
        <v>46.572787210000001</v>
      </c>
      <c r="D23">
        <f>27.30665675</f>
        <v>27.306656749999998</v>
      </c>
      <c r="E23">
        <f>73.87944396</f>
        <v>73.879443960000003</v>
      </c>
      <c r="F23">
        <f>47.14821615</f>
        <v>47.148216150000003</v>
      </c>
      <c r="G23">
        <f>45.37462156</f>
        <v>45.374621560000001</v>
      </c>
      <c r="H23">
        <f>7.093578246</f>
        <v>7.0935782459999999</v>
      </c>
      <c r="I23">
        <f>52.4681998</f>
        <v>52.468199800000001</v>
      </c>
      <c r="J23">
        <f>96.732416</f>
        <v>96.732416000000001</v>
      </c>
      <c r="K23">
        <f>7.3877075</f>
        <v>7.3877075000000003</v>
      </c>
      <c r="L23">
        <f>3916.8351</f>
        <v>3916.8350999999998</v>
      </c>
    </row>
    <row r="24" spans="1:12" x14ac:dyDescent="0.25">
      <c r="A24">
        <f>0.82</f>
        <v>0.82</v>
      </c>
      <c r="B24">
        <f>48.99066258</f>
        <v>48.990662579999999</v>
      </c>
      <c r="C24">
        <f>47.21410886</f>
        <v>47.214108860000003</v>
      </c>
      <c r="D24">
        <f>27.15545939</f>
        <v>27.155459390000001</v>
      </c>
      <c r="E24">
        <f>74.36956825</f>
        <v>74.36956825</v>
      </c>
      <c r="F24">
        <f>47.73029289</f>
        <v>47.730292890000001</v>
      </c>
      <c r="G24">
        <f>45.99944409</f>
        <v>45.999444089999997</v>
      </c>
      <c r="H24">
        <f>7.09514221</f>
        <v>7.0951422099999997</v>
      </c>
      <c r="I24">
        <f>53.09458631</f>
        <v>53.094586309999997</v>
      </c>
      <c r="J24">
        <f>91.61814</f>
        <v>91.618139999999997</v>
      </c>
      <c r="K24">
        <f>7.5709389</f>
        <v>7.5709388999999998</v>
      </c>
      <c r="L24">
        <f>3664.5098</f>
        <v>3664.5097999999998</v>
      </c>
    </row>
    <row r="25" spans="1:12" x14ac:dyDescent="0.25">
      <c r="A25">
        <f>0.83</f>
        <v>0.83</v>
      </c>
      <c r="B25">
        <f>49.58810968</f>
        <v>49.588109680000002</v>
      </c>
      <c r="C25">
        <f>47.8559734</f>
        <v>47.855973400000003</v>
      </c>
      <c r="D25">
        <f>27.00239559</f>
        <v>27.002395589999999</v>
      </c>
      <c r="E25">
        <f>74.85836898</f>
        <v>74.858368979999995</v>
      </c>
      <c r="F25">
        <f>48.31236963</f>
        <v>48.312369629999999</v>
      </c>
      <c r="G25">
        <f>46.62479555</f>
        <v>46.624795550000002</v>
      </c>
      <c r="H25">
        <f>7.097865029</f>
        <v>7.0978650290000003</v>
      </c>
      <c r="I25">
        <f>53.72266058</f>
        <v>53.722660580000003</v>
      </c>
      <c r="J25">
        <f>86.280089</f>
        <v>86.280089000000004</v>
      </c>
      <c r="K25">
        <f>7.7659345</f>
        <v>7.7659345000000002</v>
      </c>
      <c r="L25">
        <f>3409.422</f>
        <v>3409.422</v>
      </c>
    </row>
    <row r="26" spans="1:12" x14ac:dyDescent="0.25">
      <c r="A26">
        <f>0.84</f>
        <v>0.84</v>
      </c>
      <c r="B26">
        <f>50.18555679</f>
        <v>50.18555679</v>
      </c>
      <c r="C26">
        <f>48.49854385</f>
        <v>48.498543849999997</v>
      </c>
      <c r="D26">
        <f>26.84690406</f>
        <v>26.84690406</v>
      </c>
      <c r="E26">
        <f>75.34544791</f>
        <v>75.345447910000004</v>
      </c>
      <c r="F26">
        <f>48.89444637</f>
        <v>48.894446369999997</v>
      </c>
      <c r="G26">
        <f>47.25083477</f>
        <v>47.250834769999997</v>
      </c>
      <c r="H26">
        <f>7.101886321</f>
        <v>7.1018863210000003</v>
      </c>
      <c r="I26">
        <f>54.35272109</f>
        <v>54.352721090000003</v>
      </c>
      <c r="J26">
        <f>80.687903</f>
        <v>80.687903000000006</v>
      </c>
      <c r="K26">
        <f>7.9745908</f>
        <v>7.9745907999999996</v>
      </c>
      <c r="L26">
        <f>3150.485</f>
        <v>3150.4850000000001</v>
      </c>
    </row>
    <row r="27" spans="1:12" x14ac:dyDescent="0.25">
      <c r="A27">
        <f>0.85</f>
        <v>0.85</v>
      </c>
      <c r="B27">
        <f>50.78300389</f>
        <v>50.783003890000003</v>
      </c>
      <c r="C27">
        <f>49.14204937</f>
        <v>49.142049370000002</v>
      </c>
      <c r="D27">
        <f>26.6881959</f>
        <v>26.6881959</v>
      </c>
      <c r="E27">
        <f>75.83024527</f>
        <v>75.830245270000006</v>
      </c>
      <c r="F27">
        <f>49.47652312</f>
        <v>49.476523120000003</v>
      </c>
      <c r="G27">
        <f>47.877785</f>
        <v>47.877785000000003</v>
      </c>
      <c r="H27">
        <f>7.107389626</f>
        <v>7.1073896259999998</v>
      </c>
      <c r="I27">
        <f>54.98517462</f>
        <v>54.985174620000002</v>
      </c>
      <c r="J27">
        <f>74.814581</f>
        <v>74.814581000000004</v>
      </c>
      <c r="K27">
        <f>8.1994603</f>
        <v>8.1994603000000001</v>
      </c>
      <c r="L27">
        <f>2886.7927</f>
        <v>2886.7927</v>
      </c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opLeftCell="A16" workbookViewId="0">
      <selection activeCell="A2" sqref="A2:L27"/>
    </sheetView>
  </sheetViews>
  <sheetFormatPr defaultRowHeight="15" x14ac:dyDescent="0.25"/>
  <sheetData>
    <row r="1" spans="1:12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</row>
    <row r="2" spans="1:12" x14ac:dyDescent="0.25">
      <c r="A2">
        <f>0.6</f>
        <v>0.6</v>
      </c>
      <c r="B2">
        <f>36.30640097</f>
        <v>36.306400969999999</v>
      </c>
      <c r="C2">
        <f>33.57246548</f>
        <v>33.572465479999998</v>
      </c>
      <c r="D2">
        <f>29.42957202</f>
        <v>29.429572019999998</v>
      </c>
      <c r="E2">
        <f>63.0020375</f>
        <v>63.0020375</v>
      </c>
      <c r="F2">
        <f>35.37235589</f>
        <v>35.372355890000001</v>
      </c>
      <c r="G2">
        <f>32.70875563</f>
        <v>32.708755629999999</v>
      </c>
      <c r="H2">
        <f>6.913029313</f>
        <v>6.913029313</v>
      </c>
      <c r="I2">
        <f>39.62178494</f>
        <v>39.621784939999998</v>
      </c>
      <c r="J2">
        <f>163.49542</f>
        <v>163.49542</v>
      </c>
      <c r="K2">
        <f>4.9753252</f>
        <v>4.9753252000000003</v>
      </c>
      <c r="L2">
        <f>8937.2232</f>
        <v>8937.2232000000004</v>
      </c>
    </row>
    <row r="3" spans="1:12" x14ac:dyDescent="0.25">
      <c r="A3">
        <f>0.61</f>
        <v>0.61</v>
      </c>
      <c r="B3">
        <f>36.91150766</f>
        <v>36.911507659999998</v>
      </c>
      <c r="C3">
        <f>34.21919029</f>
        <v>34.21919029</v>
      </c>
      <c r="D3">
        <f>29.28610472</f>
        <v>29.286104720000001</v>
      </c>
      <c r="E3">
        <f>63.50529501</f>
        <v>63.505295009999998</v>
      </c>
      <c r="F3">
        <f>35.96189516</f>
        <v>35.961895159999997</v>
      </c>
      <c r="G3">
        <f>33.33884232</f>
        <v>33.338842319999998</v>
      </c>
      <c r="H3">
        <f>6.90099947</f>
        <v>6.9009994700000004</v>
      </c>
      <c r="I3">
        <f>40.23984179</f>
        <v>40.23984179</v>
      </c>
      <c r="J3">
        <f>161.83367</f>
        <v>161.83367000000001</v>
      </c>
      <c r="K3">
        <f>5.0524514</f>
        <v>5.0524513999999998</v>
      </c>
      <c r="L3">
        <f>8701.3638</f>
        <v>8701.3637999999992</v>
      </c>
    </row>
    <row r="4" spans="1:12" x14ac:dyDescent="0.25">
      <c r="A4">
        <f>0.62</f>
        <v>0.62</v>
      </c>
      <c r="B4">
        <f>37.51661434</f>
        <v>37.516614339999997</v>
      </c>
      <c r="C4">
        <f>34.86594848</f>
        <v>34.86594848</v>
      </c>
      <c r="D4">
        <f>29.1425235</f>
        <v>29.142523499999999</v>
      </c>
      <c r="E4">
        <f>64.00847198</f>
        <v>64.008471979999996</v>
      </c>
      <c r="F4">
        <f>36.55143442</f>
        <v>36.55143442</v>
      </c>
      <c r="G4">
        <f>33.96896154</f>
        <v>33.968961540000002</v>
      </c>
      <c r="H4">
        <f>6.889259747</f>
        <v>6.8892597469999997</v>
      </c>
      <c r="I4">
        <f>40.85822129</f>
        <v>40.858221290000003</v>
      </c>
      <c r="J4">
        <f>160.02373</f>
        <v>160.02373</v>
      </c>
      <c r="K4">
        <f>5.1320711</f>
        <v>5.1320711000000001</v>
      </c>
      <c r="L4">
        <f>8465.2731</f>
        <v>8465.2731000000003</v>
      </c>
    </row>
    <row r="5" spans="1:12" x14ac:dyDescent="0.25">
      <c r="A5">
        <f>0.63</f>
        <v>0.63</v>
      </c>
      <c r="B5">
        <f>38.12172102</f>
        <v>38.121721020000003</v>
      </c>
      <c r="C5">
        <f>35.51274303</f>
        <v>35.512743030000003</v>
      </c>
      <c r="D5">
        <f>28.99881816</f>
        <v>28.998818159999999</v>
      </c>
      <c r="E5">
        <f>64.51156118</f>
        <v>64.511561180000001</v>
      </c>
      <c r="F5">
        <f>37.14097369</f>
        <v>37.140973690000003</v>
      </c>
      <c r="G5">
        <f>34.59911617</f>
        <v>34.599116170000002</v>
      </c>
      <c r="H5">
        <f>6.877823251</f>
        <v>6.8778232509999997</v>
      </c>
      <c r="I5">
        <f>41.47693942</f>
        <v>41.476939420000001</v>
      </c>
      <c r="J5">
        <f>158.06501</f>
        <v>158.06501</v>
      </c>
      <c r="K5">
        <f>5.2143134</f>
        <v>5.2143134</v>
      </c>
      <c r="L5">
        <f>8228.9321</f>
        <v>8228.9321</v>
      </c>
    </row>
    <row r="6" spans="1:12" x14ac:dyDescent="0.25">
      <c r="A6">
        <f>0.64</f>
        <v>0.64</v>
      </c>
      <c r="B6">
        <f>38.7268277</f>
        <v>38.726827700000001</v>
      </c>
      <c r="C6">
        <f>36.15957728</f>
        <v>36.159577280000001</v>
      </c>
      <c r="D6">
        <f>28.85497719</f>
        <v>28.85497719</v>
      </c>
      <c r="E6">
        <f>65.01455447</f>
        <v>65.014554469999993</v>
      </c>
      <c r="F6">
        <f>37.73051295</f>
        <v>37.730512949999998</v>
      </c>
      <c r="G6">
        <f>35.22930949</f>
        <v>35.229309489999999</v>
      </c>
      <c r="H6">
        <f>6.866703941</f>
        <v>6.8667039409999999</v>
      </c>
      <c r="I6">
        <f>42.09601343</f>
        <v>42.096013429999999</v>
      </c>
      <c r="J6">
        <f>155.95689</f>
        <v>155.95688999999999</v>
      </c>
      <c r="K6">
        <f>5.2993166</f>
        <v>5.2993166</v>
      </c>
      <c r="L6">
        <f>7992.3199</f>
        <v>7992.3199000000004</v>
      </c>
    </row>
    <row r="7" spans="1:12" x14ac:dyDescent="0.25">
      <c r="A7">
        <f>0.65</f>
        <v>0.65</v>
      </c>
      <c r="B7">
        <f>39.33193439</f>
        <v>39.331934390000001</v>
      </c>
      <c r="C7">
        <f>36.80645502</f>
        <v>36.806455020000001</v>
      </c>
      <c r="D7">
        <f>28.71098763</f>
        <v>28.710987630000002</v>
      </c>
      <c r="E7">
        <f>65.51744265</f>
        <v>65.517442650000007</v>
      </c>
      <c r="F7">
        <f>38.32005222</f>
        <v>38.320052220000001</v>
      </c>
      <c r="G7">
        <f>35.85954518</f>
        <v>35.859545179999998</v>
      </c>
      <c r="H7">
        <f>6.855916698</f>
        <v>6.8559166979999997</v>
      </c>
      <c r="I7">
        <f>42.71546188</f>
        <v>42.715461879999999</v>
      </c>
      <c r="J7">
        <f>153.69863</f>
        <v>153.69863000000001</v>
      </c>
      <c r="K7">
        <f>5.3872302</f>
        <v>5.3872302000000003</v>
      </c>
      <c r="L7">
        <f>7755.4126</f>
        <v>7755.4125999999997</v>
      </c>
    </row>
    <row r="8" spans="1:12" x14ac:dyDescent="0.25">
      <c r="A8">
        <f>0.66</f>
        <v>0.66</v>
      </c>
      <c r="B8">
        <f>39.93704107</f>
        <v>39.937041069999999</v>
      </c>
      <c r="C8">
        <f>37.45338053</f>
        <v>37.453380529999997</v>
      </c>
      <c r="D8">
        <f>28.56683476</f>
        <v>28.566834759999999</v>
      </c>
      <c r="E8">
        <f>66.02021529</f>
        <v>66.020215289999996</v>
      </c>
      <c r="F8">
        <f>38.90959148</f>
        <v>38.909591480000003</v>
      </c>
      <c r="G8">
        <f>36.48982742</f>
        <v>36.489827419999997</v>
      </c>
      <c r="H8">
        <f>6.845477422</f>
        <v>6.8454774220000001</v>
      </c>
      <c r="I8">
        <f>43.33530484</f>
        <v>43.335304839999999</v>
      </c>
      <c r="J8">
        <f>151.28944</f>
        <v>151.28944000000001</v>
      </c>
      <c r="K8">
        <f>5.4782157</f>
        <v>5.4782156999999998</v>
      </c>
      <c r="L8">
        <f>7518.1838</f>
        <v>7518.1837999999998</v>
      </c>
    </row>
    <row r="9" spans="1:12" x14ac:dyDescent="0.25">
      <c r="A9">
        <f>0.67</f>
        <v>0.67</v>
      </c>
      <c r="B9">
        <f>40.54214775</f>
        <v>40.542147749999998</v>
      </c>
      <c r="C9">
        <f>38.10035871</f>
        <v>38.100358710000002</v>
      </c>
      <c r="D9">
        <f>28.42250182</f>
        <v>28.422501820000001</v>
      </c>
      <c r="E9">
        <f>66.52286053</f>
        <v>66.522860530000003</v>
      </c>
      <c r="F9">
        <f>39.49913075</f>
        <v>39.499130749999999</v>
      </c>
      <c r="G9">
        <f>37.12016096</f>
        <v>37.12016096</v>
      </c>
      <c r="H9">
        <f>6.835403124</f>
        <v>6.8354031239999999</v>
      </c>
      <c r="I9">
        <f>43.95556409</f>
        <v>43.955564090000003</v>
      </c>
      <c r="J9">
        <f>148.7284</f>
        <v>148.72839999999999</v>
      </c>
      <c r="K9">
        <f>5.5724478</f>
        <v>5.5724478</v>
      </c>
      <c r="L9">
        <f>7280.6034</f>
        <v>7280.6034</v>
      </c>
    </row>
    <row r="10" spans="1:12" x14ac:dyDescent="0.25">
      <c r="A10">
        <f>0.68</f>
        <v>0.68</v>
      </c>
      <c r="B10">
        <f>41.14725444</f>
        <v>41.147254439999998</v>
      </c>
      <c r="C10">
        <f>38.74739515</f>
        <v>38.747395150000003</v>
      </c>
      <c r="D10">
        <f>28.27796962</f>
        <v>28.27796962</v>
      </c>
      <c r="E10">
        <f>67.02536476</f>
        <v>67.025364760000002</v>
      </c>
      <c r="F10">
        <f>40.08867001</f>
        <v>40.088670010000001</v>
      </c>
      <c r="G10">
        <f>37.75055126</f>
        <v>37.750551260000002</v>
      </c>
      <c r="H10">
        <f>6.825712043</f>
        <v>6.8257120430000002</v>
      </c>
      <c r="I10">
        <f>44.5762633</f>
        <v>44.576263300000001</v>
      </c>
      <c r="J10">
        <f>146.01449</f>
        <v>146.01449</v>
      </c>
      <c r="K10">
        <f>5.6701166</f>
        <v>5.6701166000000001</v>
      </c>
      <c r="L10">
        <f>7042.6374</f>
        <v>7042.6373999999996</v>
      </c>
    </row>
    <row r="11" spans="1:12" x14ac:dyDescent="0.25">
      <c r="A11">
        <f>0.69</f>
        <v>0.69</v>
      </c>
      <c r="B11">
        <f>41.75236112</f>
        <v>41.752361120000003</v>
      </c>
      <c r="C11">
        <f>39.39449626</f>
        <v>39.394496259999997</v>
      </c>
      <c r="D11">
        <f>28.1332161</f>
        <v>28.133216099999999</v>
      </c>
      <c r="E11">
        <f>67.52771236</f>
        <v>67.527712359999995</v>
      </c>
      <c r="F11">
        <f>40.67820928</f>
        <v>40.678209279999997</v>
      </c>
      <c r="G11">
        <f>38.38100457</f>
        <v>38.381004570000002</v>
      </c>
      <c r="H11">
        <f>6.816423778</f>
        <v>6.8164237779999999</v>
      </c>
      <c r="I11">
        <f>45.19742835</f>
        <v>45.197428350000003</v>
      </c>
      <c r="J11">
        <f>143.14655</f>
        <v>143.14654999999999</v>
      </c>
      <c r="K11">
        <f>5.7714289</f>
        <v>5.7714289000000001</v>
      </c>
      <c r="L11">
        <f>6804.247</f>
        <v>6804.2470000000003</v>
      </c>
    </row>
    <row r="12" spans="1:12" x14ac:dyDescent="0.25">
      <c r="A12">
        <f>0.7</f>
        <v>0.7</v>
      </c>
      <c r="B12">
        <f>42.3574678</f>
        <v>42.357467800000002</v>
      </c>
      <c r="C12">
        <f>40.04166948</f>
        <v>40.041669480000003</v>
      </c>
      <c r="D12">
        <f>27.98821574</f>
        <v>27.988215740000001</v>
      </c>
      <c r="E12">
        <f>68.02988522</f>
        <v>68.029885219999997</v>
      </c>
      <c r="F12">
        <f>41.26774854</f>
        <v>41.267748539999999</v>
      </c>
      <c r="G12">
        <f>39.01152814</f>
        <v>39.011528140000003</v>
      </c>
      <c r="H12">
        <f>6.807559439</f>
        <v>6.8075594390000003</v>
      </c>
      <c r="I12">
        <f>45.81908758</f>
        <v>45.819087580000001</v>
      </c>
      <c r="J12">
        <f>140.12323</f>
        <v>140.12323000000001</v>
      </c>
      <c r="K12">
        <f>5.8766112</f>
        <v>5.8766112000000001</v>
      </c>
      <c r="L12">
        <f>6565.3878</f>
        <v>6565.3878000000004</v>
      </c>
    </row>
    <row r="13" spans="1:12" x14ac:dyDescent="0.25">
      <c r="A13">
        <f>0.71</f>
        <v>0.71</v>
      </c>
      <c r="B13">
        <f>42.96257448</f>
        <v>42.962574480000001</v>
      </c>
      <c r="C13">
        <f>40.68892345</f>
        <v>40.688923449999997</v>
      </c>
      <c r="D13">
        <f>27.84293884</f>
        <v>27.842938839999999</v>
      </c>
      <c r="E13">
        <f>68.53186229</f>
        <v>68.531862290000007</v>
      </c>
      <c r="F13">
        <f>41.85728781</f>
        <v>41.857287810000003</v>
      </c>
      <c r="G13">
        <f>39.64213039</f>
        <v>39.642130389999998</v>
      </c>
      <c r="H13">
        <f>6.799141824</f>
        <v>6.7991418240000003</v>
      </c>
      <c r="I13">
        <f>46.44127221</f>
        <v>46.441272210000001</v>
      </c>
      <c r="J13">
        <f>136.94301</f>
        <v>136.94300999999999</v>
      </c>
      <c r="K13">
        <f>5.9859118</f>
        <v>5.9859118000000002</v>
      </c>
      <c r="L13">
        <f>6326.0087</f>
        <v>6326.0087000000003</v>
      </c>
    </row>
    <row r="14" spans="1:12" x14ac:dyDescent="0.25">
      <c r="A14">
        <f>0.72</f>
        <v>0.72</v>
      </c>
      <c r="B14">
        <f>43.56768117</f>
        <v>43.56768117</v>
      </c>
      <c r="C14">
        <f>41.33626831</f>
        <v>41.336268310000001</v>
      </c>
      <c r="D14">
        <f>27.69735061</f>
        <v>27.697350610000001</v>
      </c>
      <c r="E14">
        <f>69.03361892</f>
        <v>69.033618919999995</v>
      </c>
      <c r="F14">
        <f>42.44682707</f>
        <v>42.446827069999998</v>
      </c>
      <c r="G14">
        <f>40.27282118</f>
        <v>40.272821180000001</v>
      </c>
      <c r="H14">
        <f>6.791195633</f>
        <v>6.7911956330000001</v>
      </c>
      <c r="I14">
        <f>47.06401681</f>
        <v>47.064016809999998</v>
      </c>
      <c r="J14">
        <f>133.60409</f>
        <v>133.60409000000001</v>
      </c>
      <c r="K14">
        <f>6.0996044</f>
        <v>6.0996043999999996</v>
      </c>
      <c r="L14">
        <f>6086.0504</f>
        <v>6086.0504000000001</v>
      </c>
    </row>
    <row r="15" spans="1:12" x14ac:dyDescent="0.25">
      <c r="A15">
        <f>0.73</f>
        <v>0.73</v>
      </c>
      <c r="B15">
        <f>44.17278785</f>
        <v>44.172787849999999</v>
      </c>
      <c r="C15">
        <f>41.983716</f>
        <v>41.983716000000001</v>
      </c>
      <c r="D15">
        <f>27.55140998</f>
        <v>27.551409979999999</v>
      </c>
      <c r="E15">
        <f>69.53512598</f>
        <v>69.535125980000004</v>
      </c>
      <c r="F15">
        <f>43.03636634</f>
        <v>43.036366340000001</v>
      </c>
      <c r="G15">
        <f>40.90361215</f>
        <v>40.903612150000001</v>
      </c>
      <c r="H15">
        <f>6.783747707</f>
        <v>6.7837477069999998</v>
      </c>
      <c r="I15">
        <f>47.68735986</f>
        <v>47.687359860000001</v>
      </c>
      <c r="J15">
        <f>130.10443</f>
        <v>130.10443000000001</v>
      </c>
      <c r="K15">
        <f>6.2179926</f>
        <v>6.2179925999999996</v>
      </c>
      <c r="L15">
        <f>5845.4437</f>
        <v>5845.4436999999998</v>
      </c>
    </row>
    <row r="16" spans="1:12" x14ac:dyDescent="0.25">
      <c r="A16">
        <f>0.74</f>
        <v>0.74</v>
      </c>
      <c r="B16">
        <f>44.77789453</f>
        <v>44.777894529999998</v>
      </c>
      <c r="C16">
        <f>42.63128071</f>
        <v>42.631280709999999</v>
      </c>
      <c r="D16">
        <f>27.4050682</f>
        <v>27.405068199999999</v>
      </c>
      <c r="E16">
        <f>70.03634891</f>
        <v>70.036348910000001</v>
      </c>
      <c r="F16">
        <f>43.6259056</f>
        <v>43.625905600000003</v>
      </c>
      <c r="G16">
        <f>41.53451714</f>
        <v>41.534517139999998</v>
      </c>
      <c r="H16">
        <f>6.776827378</f>
        <v>6.7768273780000001</v>
      </c>
      <c r="I16">
        <f>48.31134452</f>
        <v>48.311344519999999</v>
      </c>
      <c r="J16">
        <f>126.44158</f>
        <v>126.44158</v>
      </c>
      <c r="K16">
        <f>6.3414143</f>
        <v>6.3414143000000003</v>
      </c>
      <c r="L16">
        <f>5604.1075</f>
        <v>5604.1075000000001</v>
      </c>
    </row>
    <row r="17" spans="1:12" x14ac:dyDescent="0.25">
      <c r="A17">
        <f>0.75</f>
        <v>0.75</v>
      </c>
      <c r="B17">
        <f>45.38300122</f>
        <v>45.383001219999997</v>
      </c>
      <c r="C17">
        <f>43.27897948</f>
        <v>43.278979479999997</v>
      </c>
      <c r="D17">
        <f>27.25826668</f>
        <v>27.258266679999998</v>
      </c>
      <c r="E17">
        <f>70.53724616</f>
        <v>70.537246159999995</v>
      </c>
      <c r="F17">
        <f>44.21544487</f>
        <v>44.215444869999999</v>
      </c>
      <c r="G17">
        <f>42.16555273</f>
        <v>42.165552730000002</v>
      </c>
      <c r="H17">
        <f>6.770466788</f>
        <v>6.7704667880000002</v>
      </c>
      <c r="I17">
        <f>48.93601952</f>
        <v>48.936019520000002</v>
      </c>
      <c r="J17">
        <f>122.61268</f>
        <v>122.61268</v>
      </c>
      <c r="K17">
        <f>6.4702486</f>
        <v>6.4702485999999997</v>
      </c>
      <c r="L17">
        <f>5361.9456</f>
        <v>5361.9456</v>
      </c>
    </row>
    <row r="18" spans="1:12" x14ac:dyDescent="0.25">
      <c r="A18">
        <f>0.76</f>
        <v>0.76</v>
      </c>
      <c r="B18">
        <f>45.9881079</f>
        <v>45.988107900000003</v>
      </c>
      <c r="C18">
        <f>43.92683293</f>
        <v>43.926832930000003</v>
      </c>
      <c r="D18">
        <f>27.11093448</f>
        <v>27.110934480000001</v>
      </c>
      <c r="E18">
        <f>71.03776742</f>
        <v>71.037767419999994</v>
      </c>
      <c r="F18">
        <f>44.80498413</f>
        <v>44.804984130000001</v>
      </c>
      <c r="G18">
        <f>42.79673904</f>
        <v>42.796739039999999</v>
      </c>
      <c r="H18">
        <f>6.764701398</f>
        <v>6.7647013979999997</v>
      </c>
      <c r="I18">
        <f>49.56144044</f>
        <v>49.561440439999998</v>
      </c>
      <c r="J18">
        <f>118.61431</f>
        <v>118.61431</v>
      </c>
      <c r="K18">
        <f>6.6049238</f>
        <v>6.6049237999999999</v>
      </c>
      <c r="L18">
        <f>5118.8427</f>
        <v>5118.8427000000001</v>
      </c>
    </row>
    <row r="19" spans="1:12" x14ac:dyDescent="0.25">
      <c r="A19">
        <f>0.77</f>
        <v>0.77</v>
      </c>
      <c r="B19">
        <f>46.59321458</f>
        <v>46.593214580000001</v>
      </c>
      <c r="C19">
        <f>44.57486635</f>
        <v>44.574866350000001</v>
      </c>
      <c r="D19">
        <f>26.96298469</f>
        <v>26.962984689999999</v>
      </c>
      <c r="E19">
        <f>71.53785105</f>
        <v>71.53785105</v>
      </c>
      <c r="F19">
        <f>45.3945234</f>
        <v>45.394523399999997</v>
      </c>
      <c r="G19">
        <f>43.42810067</f>
        <v>43.428100669999999</v>
      </c>
      <c r="H19">
        <f>6.759570583</f>
        <v>6.7595705830000004</v>
      </c>
      <c r="I19">
        <f>50.18767126</f>
        <v>50.187671260000002</v>
      </c>
      <c r="J19">
        <f>114.44235</f>
        <v>114.44235</v>
      </c>
      <c r="K19">
        <f>6.7459282</f>
        <v>6.7459281999999998</v>
      </c>
      <c r="L19">
        <f>4874.6598</f>
        <v>4874.6598000000004</v>
      </c>
    </row>
    <row r="20" spans="1:12" x14ac:dyDescent="0.25">
      <c r="A20">
        <f>0.78</f>
        <v>0.78</v>
      </c>
      <c r="B20">
        <f>47.19832126</f>
        <v>47.19832126</v>
      </c>
      <c r="C20">
        <f>45.22311108</f>
        <v>45.223111080000002</v>
      </c>
      <c r="D20">
        <f>26.81430949</f>
        <v>26.814309489999999</v>
      </c>
      <c r="E20">
        <f>72.03742057</f>
        <v>72.037420569999995</v>
      </c>
      <c r="F20">
        <f>45.98406266</f>
        <v>45.984062659999999</v>
      </c>
      <c r="G20">
        <f>44.05966818</f>
        <v>44.059668180000003</v>
      </c>
      <c r="H20">
        <f>6.755118421</f>
        <v>6.7551184209999997</v>
      </c>
      <c r="I20">
        <f>50.8147866</f>
        <v>50.814786599999998</v>
      </c>
      <c r="J20">
        <f>110.09175</f>
        <v>110.09175</v>
      </c>
      <c r="K20">
        <f>6.8938247</f>
        <v>6.8938246999999997</v>
      </c>
      <c r="L20">
        <f>4629.2269</f>
        <v>4629.2268999999997</v>
      </c>
    </row>
    <row r="21" spans="1:12" x14ac:dyDescent="0.25">
      <c r="A21">
        <f>0.79</f>
        <v>0.79</v>
      </c>
      <c r="B21">
        <f>47.80342795</f>
        <v>47.80342795</v>
      </c>
      <c r="C21">
        <f>45.87160653</f>
        <v>45.871606530000001</v>
      </c>
      <c r="D21">
        <f>26.66477323</f>
        <v>26.664773230000002</v>
      </c>
      <c r="E21">
        <f>72.53637976</f>
        <v>72.536379760000003</v>
      </c>
      <c r="F21">
        <f>46.57360193</f>
        <v>46.573601930000002</v>
      </c>
      <c r="G21">
        <f>44.69147997</f>
        <v>44.691479970000003</v>
      </c>
      <c r="H21">
        <f>6.751394749</f>
        <v>6.7513947490000001</v>
      </c>
      <c r="I21">
        <f>51.44287471</f>
        <v>51.442874709999998</v>
      </c>
      <c r="J21">
        <f>105.55631</f>
        <v>105.55631</v>
      </c>
      <c r="K21">
        <f>7.0492698</f>
        <v>7.0492698000000003</v>
      </c>
      <c r="L21">
        <f>4382.3331</f>
        <v>4382.3330999999998</v>
      </c>
    </row>
    <row r="22" spans="1:12" x14ac:dyDescent="0.25">
      <c r="A22">
        <f>0.8</f>
        <v>0.8</v>
      </c>
      <c r="B22">
        <f>48.40853463</f>
        <v>48.408534629999998</v>
      </c>
      <c r="C22">
        <f>46.52040316</f>
        <v>46.520403160000001</v>
      </c>
      <c r="D22">
        <f>26.51420237</f>
        <v>26.51420237</v>
      </c>
      <c r="E22">
        <f>73.03460552</f>
        <v>73.03460552</v>
      </c>
      <c r="F22">
        <f>47.16314119</f>
        <v>47.163141189999997</v>
      </c>
      <c r="G22">
        <f>45.32358517</f>
        <v>45.323585170000001</v>
      </c>
      <c r="H22">
        <f>6.748456611</f>
        <v>6.7484566109999999</v>
      </c>
      <c r="I22">
        <f>52.07204178</f>
        <v>52.072041779999999</v>
      </c>
      <c r="J22">
        <f>100.82821</f>
        <v>100.82821</v>
      </c>
      <c r="K22">
        <f>7.2130417</f>
        <v>7.2130416999999998</v>
      </c>
      <c r="L22">
        <f>4133.7133</f>
        <v>4133.7133000000003</v>
      </c>
    </row>
    <row r="23" spans="1:12" x14ac:dyDescent="0.25">
      <c r="A23">
        <f>0.81</f>
        <v>0.81</v>
      </c>
      <c r="B23">
        <f>49.01364131</f>
        <v>49.013641309999997</v>
      </c>
      <c r="C23">
        <f>47.1695667</f>
        <v>47.169566699999997</v>
      </c>
      <c r="D23">
        <f>26.36237059</f>
        <v>26.362370590000001</v>
      </c>
      <c r="E23">
        <f>73.53193729</f>
        <v>73.531937290000002</v>
      </c>
      <c r="F23">
        <f>47.75268046</f>
        <v>47.752680460000001</v>
      </c>
      <c r="G23">
        <f>45.95604786</f>
        <v>45.956047859999998</v>
      </c>
      <c r="H23">
        <f>6.746370332</f>
        <v>6.7463703319999997</v>
      </c>
      <c r="I23">
        <f>52.70241819</f>
        <v>52.702418190000003</v>
      </c>
      <c r="J23">
        <f>95.897484</f>
        <v>95.897484000000006</v>
      </c>
      <c r="K23">
        <f>7.3860797</f>
        <v>7.3860796999999998</v>
      </c>
      <c r="L23">
        <f>3883.0275</f>
        <v>3883.0275000000001</v>
      </c>
    </row>
    <row r="24" spans="1:12" x14ac:dyDescent="0.25">
      <c r="A24">
        <f>0.82</f>
        <v>0.82</v>
      </c>
      <c r="B24">
        <f>49.618748</f>
        <v>49.618747999999997</v>
      </c>
      <c r="C24">
        <f>47.8191849</f>
        <v>47.819184900000003</v>
      </c>
      <c r="D24">
        <f>26.20897594</f>
        <v>26.208975939999998</v>
      </c>
      <c r="E24">
        <f>74.02816083</f>
        <v>74.028160830000004</v>
      </c>
      <c r="F24">
        <f>48.34221972</f>
        <v>48.342219720000003</v>
      </c>
      <c r="G24">
        <f>46.5889535</f>
        <v>46.588953500000002</v>
      </c>
      <c r="H24">
        <f>6.745214572</f>
        <v>6.7452145720000001</v>
      </c>
      <c r="I24">
        <f>53.33416807</f>
        <v>53.334168069999997</v>
      </c>
      <c r="J24">
        <f>90.751104</f>
        <v>90.751103999999998</v>
      </c>
      <c r="K24">
        <f>7.569544</f>
        <v>7.5695439999999996</v>
      </c>
      <c r="L24">
        <f>3629.8304</f>
        <v>3629.8303999999998</v>
      </c>
    </row>
    <row r="25" spans="1:12" x14ac:dyDescent="0.25">
      <c r="A25">
        <f>0.83</f>
        <v>0.83</v>
      </c>
      <c r="B25">
        <f>50.22385468</f>
        <v>50.223854680000002</v>
      </c>
      <c r="C25">
        <f>48.46937547</f>
        <v>48.469375470000003</v>
      </c>
      <c r="D25">
        <f>26.05361314</f>
        <v>26.05361314</v>
      </c>
      <c r="E25">
        <f>74.52298862</f>
        <v>74.522988620000007</v>
      </c>
      <c r="F25">
        <f>48.93175899</f>
        <v>48.931758989999999</v>
      </c>
      <c r="G25">
        <f>47.2224168</f>
        <v>47.222416799999998</v>
      </c>
      <c r="H25">
        <f>6.745085045</f>
        <v>6.7450850449999997</v>
      </c>
      <c r="I25">
        <f>53.96750184</f>
        <v>53.967501839999997</v>
      </c>
      <c r="J25">
        <f>85.375476</f>
        <v>85.375476000000006</v>
      </c>
      <c r="K25">
        <f>7.764898</f>
        <v>7.7648979999999996</v>
      </c>
      <c r="L25">
        <f>3373.6756</f>
        <v>3373.6756</v>
      </c>
    </row>
    <row r="26" spans="1:12" x14ac:dyDescent="0.25">
      <c r="A26">
        <f>0.84</f>
        <v>0.84</v>
      </c>
      <c r="B26">
        <f>50.82896136</f>
        <v>50.828961360000001</v>
      </c>
      <c r="C26">
        <f>49.12031428</f>
        <v>49.120314280000002</v>
      </c>
      <c r="D26">
        <f>25.89567677</f>
        <v>25.895676770000001</v>
      </c>
      <c r="E26">
        <f>75.01599104</f>
        <v>75.015991040000003</v>
      </c>
      <c r="F26">
        <f>49.52129825</f>
        <v>49.521298250000001</v>
      </c>
      <c r="G26">
        <f>47.85660907</f>
        <v>47.856609069999998</v>
      </c>
      <c r="H26">
        <f>6.746102284</f>
        <v>6.746102284</v>
      </c>
      <c r="I26">
        <f>54.60271136</f>
        <v>54.602711360000001</v>
      </c>
      <c r="J26">
        <f>79.738318</f>
        <v>79.738318000000007</v>
      </c>
      <c r="K26">
        <f>7.9741083</f>
        <v>7.9741083000000001</v>
      </c>
      <c r="L26">
        <f>3113.4082</f>
        <v>3113.4081999999999</v>
      </c>
    </row>
    <row r="27" spans="1:12" x14ac:dyDescent="0.25">
      <c r="A27">
        <f>0.85</f>
        <v>0.85</v>
      </c>
      <c r="B27">
        <f>51.43406804</f>
        <v>51.43406804</v>
      </c>
      <c r="C27">
        <f>49.77225173</f>
        <v>49.772251730000001</v>
      </c>
      <c r="D27">
        <f>25.73430456</f>
        <v>25.734304560000002</v>
      </c>
      <c r="E27">
        <f>75.50655629</f>
        <v>75.506556290000006</v>
      </c>
      <c r="F27">
        <f>50.11083751</f>
        <v>50.110837510000003</v>
      </c>
      <c r="G27">
        <f>48.4917743</f>
        <v>48.491774300000003</v>
      </c>
      <c r="H27">
        <f>6.748425229</f>
        <v>6.7484252290000004</v>
      </c>
      <c r="I27">
        <f>55.24019953</f>
        <v>55.240199529999998</v>
      </c>
      <c r="J27">
        <f>73.80921</f>
        <v>73.809209999999993</v>
      </c>
      <c r="K27">
        <f>8.1998516</f>
        <v>8.1998516000000006</v>
      </c>
      <c r="L27">
        <f>2847.9995</f>
        <v>2847.9994999999999</v>
      </c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opLeftCell="A22" workbookViewId="0">
      <selection activeCell="J24" sqref="J24"/>
    </sheetView>
  </sheetViews>
  <sheetFormatPr defaultRowHeight="15" x14ac:dyDescent="0.25"/>
  <sheetData>
    <row r="1" spans="1:12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</row>
    <row r="2" spans="1:12" x14ac:dyDescent="0.25">
      <c r="A2">
        <f>0.6</f>
        <v>0.6</v>
      </c>
      <c r="B2">
        <f>36.76597567</f>
        <v>36.765975670000003</v>
      </c>
      <c r="C2">
        <f>33.99677404</f>
        <v>33.996774039999998</v>
      </c>
      <c r="D2">
        <f>28.52536637</f>
        <v>28.52536637</v>
      </c>
      <c r="E2">
        <f>62.52214041</f>
        <v>62.522140409999999</v>
      </c>
      <c r="F2">
        <f>35.82010723</f>
        <v>35.820107229999998</v>
      </c>
      <c r="G2">
        <f>33.12214811</f>
        <v>33.122148109999998</v>
      </c>
      <c r="H2">
        <f>6.611075355</f>
        <v>6.6110753549999997</v>
      </c>
      <c r="I2">
        <f>39.73322347</f>
        <v>39.733223469999999</v>
      </c>
      <c r="J2">
        <f>162.97861</f>
        <v>162.97861</v>
      </c>
      <c r="K2">
        <f>4.9739646</f>
        <v>4.9739646000000004</v>
      </c>
      <c r="L2">
        <f>8908.9727</f>
        <v>8908.9727000000003</v>
      </c>
    </row>
    <row r="3" spans="1:12" x14ac:dyDescent="0.25">
      <c r="A3">
        <f>0.61</f>
        <v>0.61</v>
      </c>
      <c r="B3">
        <f>37.37874193</f>
        <v>37.378741929999997</v>
      </c>
      <c r="C3">
        <f>34.65168936</f>
        <v>34.651689359999999</v>
      </c>
      <c r="D3">
        <f>28.38006792</f>
        <v>28.380067919999998</v>
      </c>
      <c r="E3">
        <f>63.03175727</f>
        <v>63.03175727</v>
      </c>
      <c r="F3">
        <f>36.41710902</f>
        <v>36.417109019999998</v>
      </c>
      <c r="G3">
        <f>33.7602146</f>
        <v>33.760214599999998</v>
      </c>
      <c r="H3">
        <f>6.597677973</f>
        <v>6.5976779729999997</v>
      </c>
      <c r="I3">
        <f>40.35789257</f>
        <v>40.357892569999997</v>
      </c>
      <c r="J3">
        <f>161.30624</f>
        <v>161.30624</v>
      </c>
      <c r="K3">
        <f>5.0510558</f>
        <v>5.0510558000000003</v>
      </c>
      <c r="L3">
        <f>8673.0053</f>
        <v>8673.0053000000007</v>
      </c>
    </row>
    <row r="4" spans="1:12" x14ac:dyDescent="0.25">
      <c r="A4">
        <f>0.62</f>
        <v>0.62</v>
      </c>
      <c r="B4">
        <f>37.99150819</f>
        <v>37.991508189999998</v>
      </c>
      <c r="C4">
        <f>35.30663885</f>
        <v>35.306638849999999</v>
      </c>
      <c r="D4">
        <f>28.23465276</f>
        <v>28.234652759999999</v>
      </c>
      <c r="E4">
        <f>63.54129162</f>
        <v>63.541291620000003</v>
      </c>
      <c r="F4">
        <f>37.01411081</f>
        <v>37.014110809999998</v>
      </c>
      <c r="G4">
        <f>34.39831439</f>
        <v>34.398314390000003</v>
      </c>
      <c r="H4">
        <f>6.584539441</f>
        <v>6.5845394410000004</v>
      </c>
      <c r="I4">
        <f>40.98285383</f>
        <v>40.982853830000003</v>
      </c>
      <c r="J4">
        <f>159.48548</f>
        <v>159.48548</v>
      </c>
      <c r="K4">
        <f>5.1306399</f>
        <v>5.1306399000000003</v>
      </c>
      <c r="L4">
        <f>8436.7995</f>
        <v>8436.7994999999992</v>
      </c>
    </row>
    <row r="5" spans="1:12" x14ac:dyDescent="0.25">
      <c r="A5">
        <f>0.63</f>
        <v>0.63</v>
      </c>
      <c r="B5">
        <f>38.60427445</f>
        <v>38.604274449999998</v>
      </c>
      <c r="C5">
        <f>35.9616256</f>
        <v>35.961625599999998</v>
      </c>
      <c r="D5">
        <f>28.0891104</f>
        <v>28.089110399999999</v>
      </c>
      <c r="E5">
        <f>64.05073599</f>
        <v>64.050735990000007</v>
      </c>
      <c r="F5">
        <f>37.61111259</f>
        <v>37.611112589999998</v>
      </c>
      <c r="G5">
        <f>35.03645046</f>
        <v>35.036450459999998</v>
      </c>
      <c r="H5">
        <f>6.571671412</f>
        <v>6.5716714119999997</v>
      </c>
      <c r="I5">
        <f>41.60812187</f>
        <v>41.608121869999998</v>
      </c>
      <c r="J5">
        <f>157.51572</f>
        <v>157.51571999999999</v>
      </c>
      <c r="K5">
        <f>5.2128456</f>
        <v>5.2128455999999996</v>
      </c>
      <c r="L5">
        <f>8200.3358</f>
        <v>8200.3358000000007</v>
      </c>
    </row>
    <row r="6" spans="1:12" x14ac:dyDescent="0.25">
      <c r="A6">
        <f>0.64</f>
        <v>0.64</v>
      </c>
      <c r="B6">
        <f>39.21704071</f>
        <v>39.217040709999999</v>
      </c>
      <c r="C6">
        <f>36.61665303</f>
        <v>36.616653030000002</v>
      </c>
      <c r="D6">
        <f>27.94342898</f>
        <v>27.94342898</v>
      </c>
      <c r="E6">
        <f>64.56008202</f>
        <v>64.560082019999996</v>
      </c>
      <c r="F6">
        <f>38.20811438</f>
        <v>38.208114379999998</v>
      </c>
      <c r="G6">
        <f>35.67462618</f>
        <v>35.674626179999997</v>
      </c>
      <c r="H6">
        <f>6.559086288</f>
        <v>6.5590862879999996</v>
      </c>
      <c r="I6">
        <f>42.23371247</f>
        <v>42.23371247</v>
      </c>
      <c r="J6">
        <f>155.39631</f>
        <v>155.39631</v>
      </c>
      <c r="K6">
        <f>5.2978117</f>
        <v>5.2978116999999996</v>
      </c>
      <c r="L6">
        <f>7963.5922</f>
        <v>7963.5922</v>
      </c>
    </row>
    <row r="7" spans="1:12" x14ac:dyDescent="0.25">
      <c r="A7">
        <f>0.65</f>
        <v>0.65</v>
      </c>
      <c r="B7">
        <f>39.82980697</f>
        <v>39.82980697</v>
      </c>
      <c r="C7">
        <f>37.27172507</f>
        <v>37.271725070000002</v>
      </c>
      <c r="D7">
        <f>27.79759514</f>
        <v>27.797595139999999</v>
      </c>
      <c r="E7">
        <f>65.06932021</f>
        <v>65.069320210000001</v>
      </c>
      <c r="F7">
        <f>38.80511617</f>
        <v>38.805116169999998</v>
      </c>
      <c r="G7">
        <f>36.31284535</f>
        <v>36.312845350000003</v>
      </c>
      <c r="H7">
        <f>6.546797284</f>
        <v>6.5467972840000002</v>
      </c>
      <c r="I7">
        <f>42.85964264</f>
        <v>42.859642639999997</v>
      </c>
      <c r="J7">
        <f>153.1265</f>
        <v>153.12649999999999</v>
      </c>
      <c r="K7">
        <f>5.3856876</f>
        <v>5.3856875999999998</v>
      </c>
      <c r="L7">
        <f>7726.544</f>
        <v>7726.5439999999999</v>
      </c>
    </row>
    <row r="8" spans="1:12" x14ac:dyDescent="0.25">
      <c r="A8">
        <f>0.66</f>
        <v>0.66</v>
      </c>
      <c r="B8">
        <f>40.44257324</f>
        <v>40.442573240000002</v>
      </c>
      <c r="C8">
        <f>37.92684612</f>
        <v>37.92684612</v>
      </c>
      <c r="D8">
        <f>27.6515937</f>
        <v>27.651593699999999</v>
      </c>
      <c r="E8">
        <f>65.57843982</f>
        <v>65.57843982</v>
      </c>
      <c r="F8">
        <f>39.40211796</f>
        <v>39.402117959999998</v>
      </c>
      <c r="G8">
        <f>36.95111228</f>
        <v>36.951112279999997</v>
      </c>
      <c r="H8">
        <f>6.534818502</f>
        <v>6.5348185020000003</v>
      </c>
      <c r="I8">
        <f>43.48593078</f>
        <v>43.485930779999997</v>
      </c>
      <c r="J8">
        <f>150.70546</f>
        <v>150.70545999999999</v>
      </c>
      <c r="K8">
        <f>5.4766349</f>
        <v>5.4766348999999996</v>
      </c>
      <c r="L8">
        <f>7489.1636</f>
        <v>7489.1635999999999</v>
      </c>
    </row>
    <row r="9" spans="1:12" x14ac:dyDescent="0.25">
      <c r="A9">
        <f>0.67</f>
        <v>0.67</v>
      </c>
      <c r="B9">
        <f>41.0553395</f>
        <v>41.055339500000002</v>
      </c>
      <c r="C9">
        <f>38.58202123</f>
        <v>38.582021230000002</v>
      </c>
      <c r="D9">
        <f>27.50540735</f>
        <v>27.505407349999999</v>
      </c>
      <c r="E9">
        <f>66.08742858</f>
        <v>66.087428579999994</v>
      </c>
      <c r="F9">
        <f>39.99911974</f>
        <v>39.999119739999998</v>
      </c>
      <c r="G9">
        <f>37.58943187</f>
        <v>37.589431869999999</v>
      </c>
      <c r="H9">
        <f>6.523165023</f>
        <v>6.5231650229999998</v>
      </c>
      <c r="I9">
        <f>44.1125969</f>
        <v>44.1125969</v>
      </c>
      <c r="J9">
        <f>148.13224</f>
        <v>148.13224</v>
      </c>
      <c r="K9">
        <f>5.5708288</f>
        <v>5.5708288000000001</v>
      </c>
      <c r="L9">
        <f>7251.4198</f>
        <v>7251.4197999999997</v>
      </c>
    </row>
    <row r="10" spans="1:12" x14ac:dyDescent="0.25">
      <c r="A10">
        <f>0.68</f>
        <v>0.68</v>
      </c>
      <c r="B10">
        <f>41.66810576</f>
        <v>41.668105760000003</v>
      </c>
      <c r="C10">
        <f>39.23725617</f>
        <v>39.237256170000002</v>
      </c>
      <c r="D10">
        <f>27.35901628</f>
        <v>27.359016279999999</v>
      </c>
      <c r="E10">
        <f>66.59627245</f>
        <v>66.596272450000001</v>
      </c>
      <c r="F10">
        <f>40.59612153</f>
        <v>40.596121529999998</v>
      </c>
      <c r="G10">
        <f>38.22780976</f>
        <v>38.22780976</v>
      </c>
      <c r="H10">
        <f>6.511852997</f>
        <v>6.5118529970000001</v>
      </c>
      <c r="I10">
        <f>44.73966276</f>
        <v>44.739662760000002</v>
      </c>
      <c r="J10">
        <f>145.40577</f>
        <v>145.40576999999999</v>
      </c>
      <c r="K10">
        <f>5.6684594</f>
        <v>5.6684593999999997</v>
      </c>
      <c r="L10">
        <f>7013.277</f>
        <v>7013.277</v>
      </c>
    </row>
    <row r="11" spans="1:12" x14ac:dyDescent="0.25">
      <c r="A11">
        <f>0.69</f>
        <v>0.69</v>
      </c>
      <c r="B11">
        <f>42.28087202</f>
        <v>42.280872019999997</v>
      </c>
      <c r="C11">
        <f>39.89255759</f>
        <v>39.892557590000003</v>
      </c>
      <c r="D11">
        <f>27.21239767</f>
        <v>27.212397670000001</v>
      </c>
      <c r="E11">
        <f>67.10495525</f>
        <v>67.104955250000003</v>
      </c>
      <c r="F11">
        <f>41.19312332</f>
        <v>41.193123319999998</v>
      </c>
      <c r="G11">
        <f>38.86625242</f>
        <v>38.866252420000002</v>
      </c>
      <c r="H11">
        <f>6.500899756</f>
        <v>6.5008997559999999</v>
      </c>
      <c r="I11">
        <f>45.36715217</f>
        <v>45.367152169999997</v>
      </c>
      <c r="J11">
        <f>142.52484</f>
        <v>142.52484000000001</v>
      </c>
      <c r="K11">
        <f>5.7697342</f>
        <v>5.7697342000000003</v>
      </c>
      <c r="L11">
        <f>6774.6947</f>
        <v>6774.6947</v>
      </c>
    </row>
    <row r="12" spans="1:12" x14ac:dyDescent="0.25">
      <c r="A12">
        <f>0.7</f>
        <v>0.7</v>
      </c>
      <c r="B12">
        <f>42.89363828</f>
        <v>42.893638279999998</v>
      </c>
      <c r="C12">
        <f>40.54793318</f>
        <v>40.547933180000001</v>
      </c>
      <c r="D12">
        <f>27.06552509</f>
        <v>27.065525090000001</v>
      </c>
      <c r="E12">
        <f>67.61345826</f>
        <v>67.613458260000002</v>
      </c>
      <c r="F12">
        <f>41.79012511</f>
        <v>41.790125109999998</v>
      </c>
      <c r="G12">
        <f>39.50476733</f>
        <v>39.50476733</v>
      </c>
      <c r="H12">
        <f>6.490323948</f>
        <v>6.4903239480000003</v>
      </c>
      <c r="I12">
        <f>45.99509128</f>
        <v>45.995091279999997</v>
      </c>
      <c r="J12">
        <f>139.48805</f>
        <v>139.48804999999999</v>
      </c>
      <c r="K12">
        <f>5.87488</f>
        <v>5.8748800000000001</v>
      </c>
      <c r="L12">
        <f>6535.6266</f>
        <v>6535.6265999999996</v>
      </c>
    </row>
    <row r="13" spans="1:12" x14ac:dyDescent="0.25">
      <c r="A13">
        <f>0.71</f>
        <v>0.71</v>
      </c>
      <c r="B13">
        <f>43.50640454</f>
        <v>43.506404539999998</v>
      </c>
      <c r="C13">
        <f>41.2033919</f>
        <v>41.2033919</v>
      </c>
      <c r="D13">
        <f>26.91836777</f>
        <v>26.91836777</v>
      </c>
      <c r="E13">
        <f>68.12175966</f>
        <v>68.121759659999995</v>
      </c>
      <c r="F13">
        <f>42.38712689</f>
        <v>42.387126889999998</v>
      </c>
      <c r="G13">
        <f>40.14336324</f>
        <v>40.143363239999999</v>
      </c>
      <c r="H13">
        <f>6.480145678</f>
        <v>6.4801456780000004</v>
      </c>
      <c r="I13">
        <f>46.62350892</f>
        <v>46.623508919999999</v>
      </c>
      <c r="J13">
        <f>136.2938</f>
        <v>136.2938</v>
      </c>
      <c r="K13">
        <f>5.984146</f>
        <v>5.984146</v>
      </c>
      <c r="L13">
        <f>6296.0189</f>
        <v>6296.0189</v>
      </c>
    </row>
    <row r="14" spans="1:12" x14ac:dyDescent="0.25">
      <c r="A14">
        <f>0.72</f>
        <v>0.72</v>
      </c>
      <c r="B14">
        <f>44.1191708</f>
        <v>44.119170799999999</v>
      </c>
      <c r="C14">
        <f>41.85894425</f>
        <v>41.85894425</v>
      </c>
      <c r="D14">
        <f>26.7708896</f>
        <v>26.7708896</v>
      </c>
      <c r="E14">
        <f>68.62983385</f>
        <v>68.629833849999997</v>
      </c>
      <c r="F14">
        <f>42.98412868</f>
        <v>42.984128679999998</v>
      </c>
      <c r="G14">
        <f>40.78205037</f>
        <v>40.78205037</v>
      </c>
      <c r="H14">
        <f>6.470386693</f>
        <v>6.470386693</v>
      </c>
      <c r="I14">
        <f>47.25243706</f>
        <v>47.252437059999998</v>
      </c>
      <c r="J14">
        <f>132.94023</f>
        <v>132.94023000000001</v>
      </c>
      <c r="K14">
        <f>6.0978069</f>
        <v>6.0978069000000001</v>
      </c>
      <c r="L14">
        <f>6055.8096</f>
        <v>6055.8095999999996</v>
      </c>
    </row>
    <row r="15" spans="1:12" x14ac:dyDescent="0.25">
      <c r="A15">
        <f>0.73</f>
        <v>0.73</v>
      </c>
      <c r="B15">
        <f>44.73193706</f>
        <v>44.73193706</v>
      </c>
      <c r="C15">
        <f>42.51460264</f>
        <v>42.51460264</v>
      </c>
      <c r="D15">
        <f>26.62304792</f>
        <v>26.623047920000001</v>
      </c>
      <c r="E15">
        <f>69.13765056</f>
        <v>69.137650559999997</v>
      </c>
      <c r="F15">
        <f>43.58113047</f>
        <v>43.581130469999998</v>
      </c>
      <c r="G15">
        <f>41.42084082</f>
        <v>41.420840820000002</v>
      </c>
      <c r="H15">
        <f>6.46107058</f>
        <v>6.4610705800000003</v>
      </c>
      <c r="I15">
        <f>47.8819114</f>
        <v>47.8819114</v>
      </c>
      <c r="J15">
        <f>129.42518</f>
        <v>129.42518000000001</v>
      </c>
      <c r="K15">
        <f>6.2161673</f>
        <v>6.2161673000000004</v>
      </c>
      <c r="L15">
        <f>5814.9261</f>
        <v>5814.9260999999997</v>
      </c>
    </row>
    <row r="16" spans="1:12" x14ac:dyDescent="0.25">
      <c r="A16">
        <f>0.74</f>
        <v>0.74</v>
      </c>
      <c r="B16">
        <f>45.34470332</f>
        <v>45.344703320000001</v>
      </c>
      <c r="C16">
        <f>43.17038186</f>
        <v>43.170381859999999</v>
      </c>
      <c r="D16">
        <f>26.47479197</f>
        <v>26.474791969999998</v>
      </c>
      <c r="E16">
        <f>69.64517383</f>
        <v>69.645173830000005</v>
      </c>
      <c r="F16">
        <f>44.17813225</f>
        <v>44.178132249999997</v>
      </c>
      <c r="G16">
        <f>42.05974898</f>
        <v>42.059748980000002</v>
      </c>
      <c r="H16">
        <f>6.452223055</f>
        <v>6.4522230550000002</v>
      </c>
      <c r="I16">
        <f>48.51197203</f>
        <v>48.511972030000003</v>
      </c>
      <c r="J16">
        <f>125.7461</f>
        <v>125.7461</v>
      </c>
      <c r="K16">
        <f>6.339567</f>
        <v>6.3395669999999997</v>
      </c>
      <c r="L16">
        <f>5573.2827</f>
        <v>5573.2826999999997</v>
      </c>
    </row>
    <row r="17" spans="1:12" x14ac:dyDescent="0.25">
      <c r="A17">
        <f>0.75</f>
        <v>0.75</v>
      </c>
      <c r="B17">
        <f>45.95746959</f>
        <v>45.957469590000002</v>
      </c>
      <c r="C17">
        <f>43.82629966</f>
        <v>43.826299659999997</v>
      </c>
      <c r="D17">
        <f>26.32606067</f>
        <v>26.32606067</v>
      </c>
      <c r="E17">
        <f>70.15236033</f>
        <v>70.152360329999993</v>
      </c>
      <c r="F17">
        <f>44.77513404</f>
        <v>44.775134039999998</v>
      </c>
      <c r="G17">
        <f>42.69879215</f>
        <v>42.698792150000003</v>
      </c>
      <c r="H17">
        <f>6.443872229</f>
        <v>6.4438722290000001</v>
      </c>
      <c r="I17">
        <f>49.14266438</f>
        <v>49.142664379999999</v>
      </c>
      <c r="J17">
        <f>121.89997</f>
        <v>121.89997</v>
      </c>
      <c r="K17">
        <f>6.4683873</f>
        <v>6.4683872999999998</v>
      </c>
      <c r="L17">
        <f>5330.778</f>
        <v>5330.7780000000002</v>
      </c>
    </row>
    <row r="18" spans="1:12" x14ac:dyDescent="0.25">
      <c r="A18">
        <f>0.76</f>
        <v>0.76</v>
      </c>
      <c r="B18">
        <f>46.57023585</f>
        <v>46.570235850000003</v>
      </c>
      <c r="C18">
        <f>44.48237758</f>
        <v>44.482377579999998</v>
      </c>
      <c r="D18">
        <f>26.17677991</f>
        <v>26.17677991</v>
      </c>
      <c r="E18">
        <f>70.65915749</f>
        <v>70.659157489999998</v>
      </c>
      <c r="F18">
        <f>45.37213583</f>
        <v>45.372135829999998</v>
      </c>
      <c r="G18">
        <f>43.33799134</f>
        <v>43.337991340000002</v>
      </c>
      <c r="H18">
        <f>6.436049019</f>
        <v>6.4360490190000004</v>
      </c>
      <c r="I18">
        <f>49.77404035</f>
        <v>49.77404035</v>
      </c>
      <c r="J18">
        <f>117.88317</f>
        <v>117.88317000000001</v>
      </c>
      <c r="K18">
        <f>6.6030597</f>
        <v>6.6030597000000002</v>
      </c>
      <c r="L18">
        <f>5087.2901</f>
        <v>5087.2901000000002</v>
      </c>
    </row>
    <row r="19" spans="1:12" x14ac:dyDescent="0.25">
      <c r="A19">
        <f>0.77</f>
        <v>0.77</v>
      </c>
      <c r="B19">
        <f>47.18300211</f>
        <v>47.183002109999997</v>
      </c>
      <c r="C19">
        <f>45.1386421</f>
        <v>45.138642099999998</v>
      </c>
      <c r="D19">
        <f>26.02685865</f>
        <v>26.026858650000001</v>
      </c>
      <c r="E19">
        <f>71.16550075</f>
        <v>71.165500750000007</v>
      </c>
      <c r="F19">
        <f>45.96913762</f>
        <v>45.969137619999998</v>
      </c>
      <c r="G19">
        <f>43.97737231</f>
        <v>43.97737231</v>
      </c>
      <c r="H19">
        <f>6.428787645</f>
        <v>6.4287876449999999</v>
      </c>
      <c r="I19">
        <f>50.40615996</f>
        <v>50.406159959999997</v>
      </c>
      <c r="J19">
        <f>113.69136</f>
        <v>113.69136</v>
      </c>
      <c r="K19">
        <f>6.7440769</f>
        <v>6.7440768999999996</v>
      </c>
      <c r="L19">
        <f>4842.6714</f>
        <v>4842.6714000000002</v>
      </c>
    </row>
    <row r="20" spans="1:12" x14ac:dyDescent="0.25">
      <c r="A20">
        <f>0.78</f>
        <v>0.78</v>
      </c>
      <c r="B20">
        <f>47.79576837</f>
        <v>47.795768369999998</v>
      </c>
      <c r="C20">
        <f>45.79512612</f>
        <v>45.795126119999999</v>
      </c>
      <c r="D20">
        <f>25.8761837</f>
        <v>25.876183699999999</v>
      </c>
      <c r="E20">
        <f>71.67130982</f>
        <v>71.671309820000005</v>
      </c>
      <c r="F20">
        <f>46.5661394</f>
        <v>46.566139399999997</v>
      </c>
      <c r="G20">
        <f>44.61696714</f>
        <v>44.61696714</v>
      </c>
      <c r="H20">
        <f>6.422126263</f>
        <v>6.422126263</v>
      </c>
      <c r="I20">
        <f>51.03909341</f>
        <v>51.03909341</v>
      </c>
      <c r="J20">
        <f>109.31918</f>
        <v>109.31918</v>
      </c>
      <c r="K20">
        <f>6.8920077</f>
        <v>6.8920076999999997</v>
      </c>
      <c r="L20">
        <f>4596.741</f>
        <v>4596.741</v>
      </c>
    </row>
    <row r="21" spans="1:12" x14ac:dyDescent="0.25">
      <c r="A21">
        <f>0.79</f>
        <v>0.79</v>
      </c>
      <c r="B21">
        <f>48.40853463</f>
        <v>48.408534629999998</v>
      </c>
      <c r="C21">
        <f>46.45187117</f>
        <v>46.451871169999997</v>
      </c>
      <c r="D21">
        <f>25.72461215</f>
        <v>25.724612149999999</v>
      </c>
      <c r="E21">
        <f>72.17648332</f>
        <v>72.176483320000003</v>
      </c>
      <c r="F21">
        <f>47.16314119</f>
        <v>47.163141189999997</v>
      </c>
      <c r="G21">
        <f>45.25681629</f>
        <v>45.256816290000003</v>
      </c>
      <c r="H21">
        <f>6.416107825</f>
        <v>6.4161078250000001</v>
      </c>
      <c r="I21">
        <f>51.67292411</f>
        <v>51.672924109999997</v>
      </c>
      <c r="J21">
        <f>104.76001</f>
        <v>104.76000999999999</v>
      </c>
      <c r="K21">
        <f>7.0475175</f>
        <v>7.0475174999999997</v>
      </c>
      <c r="L21">
        <f>4349.2735</f>
        <v>4349.2735000000002</v>
      </c>
    </row>
    <row r="22" spans="1:12" x14ac:dyDescent="0.25">
      <c r="A22">
        <f>0.8</f>
        <v>0.8</v>
      </c>
      <c r="B22">
        <f>49.02130089</f>
        <v>49.021300889999999</v>
      </c>
      <c r="C22">
        <f>47.10893057</f>
        <v>47.108930569999998</v>
      </c>
      <c r="D22">
        <f>25.57196051</f>
        <v>25.57196051</v>
      </c>
      <c r="E22">
        <f>72.68089108</f>
        <v>72.680891079999995</v>
      </c>
      <c r="F22">
        <f>47.76014298</f>
        <v>47.760142979999998</v>
      </c>
      <c r="G22">
        <f>45.8969717</f>
        <v>45.896971700000002</v>
      </c>
      <c r="H22">
        <f>6.410781253</f>
        <v>6.4107812529999997</v>
      </c>
      <c r="I22">
        <f>52.30775295</f>
        <v>52.307752950000001</v>
      </c>
      <c r="J22">
        <f>100.00551</f>
        <v>100.00551</v>
      </c>
      <c r="K22">
        <f>7.211397</f>
        <v>7.2113969999999998</v>
      </c>
      <c r="L22">
        <f>4099.9845</f>
        <v>4099.9844999999996</v>
      </c>
    </row>
    <row r="23" spans="1:12" x14ac:dyDescent="0.25">
      <c r="A23">
        <f>0.81</f>
        <v>0.81</v>
      </c>
      <c r="B23">
        <f>49.63406715</f>
        <v>49.63406715</v>
      </c>
      <c r="C23">
        <f>47.76637415</f>
        <v>47.766374149999997</v>
      </c>
      <c r="D23">
        <f>25.41798844</f>
        <v>25.417988439999998</v>
      </c>
      <c r="E23">
        <f>73.18436258</f>
        <v>73.184362579999998</v>
      </c>
      <c r="F23">
        <f>48.35714476</f>
        <v>48.357144759999997</v>
      </c>
      <c r="G23">
        <f>46.5375014</f>
        <v>46.537501399999996</v>
      </c>
      <c r="H23">
        <f>6.406203112</f>
        <v>6.406203112</v>
      </c>
      <c r="I23">
        <f>52.94370451</f>
        <v>52.943704510000003</v>
      </c>
      <c r="J23">
        <f>95.044947</f>
        <v>95.044946999999993</v>
      </c>
      <c r="K23">
        <f>7.3846043</f>
        <v>7.3846043000000003</v>
      </c>
      <c r="L23">
        <f>3848.5071</f>
        <v>3848.5070999999998</v>
      </c>
    </row>
    <row r="24" spans="1:12" x14ac:dyDescent="0.25">
      <c r="A24">
        <f>0.82</f>
        <v>0.82</v>
      </c>
      <c r="B24">
        <f>50.24683341</f>
        <v>50.246833410000001</v>
      </c>
      <c r="C24">
        <f>48.42429301</f>
        <v>48.42429301</v>
      </c>
      <c r="D24">
        <f>25.26238231</f>
        <v>25.26238231</v>
      </c>
      <c r="E24">
        <f>73.68667533</f>
        <v>73.68667533</v>
      </c>
      <c r="F24">
        <f>48.95414655</f>
        <v>48.954146549999997</v>
      </c>
      <c r="G24">
        <f>47.17849416</f>
        <v>47.17849416</v>
      </c>
      <c r="H24">
        <f>6.402440279</f>
        <v>6.4024402790000003</v>
      </c>
      <c r="I24">
        <f>53.58093444</f>
        <v>53.58093444</v>
      </c>
      <c r="J24">
        <f>89.868477</f>
        <v>89.868476999999999</v>
      </c>
      <c r="K24">
        <f>7.5683181</f>
        <v>7.5683180999999999</v>
      </c>
      <c r="L24">
        <f>3594.5274</f>
        <v>3594.5273999999999</v>
      </c>
    </row>
    <row r="25" spans="1:12" x14ac:dyDescent="0.25">
      <c r="A25">
        <f>0.83</f>
        <v>0.83</v>
      </c>
      <c r="B25">
        <f>50.85959967</f>
        <v>50.859599670000001</v>
      </c>
      <c r="C25">
        <f>49.08282162</f>
        <v>49.082821619999997</v>
      </c>
      <c r="D25">
        <f>25.10467922</f>
        <v>25.104679220000001</v>
      </c>
      <c r="E25">
        <f>74.18750084</f>
        <v>74.187500839999998</v>
      </c>
      <c r="F25">
        <f>49.55114834</f>
        <v>49.551148339999997</v>
      </c>
      <c r="G25">
        <f>47.82008098</f>
        <v>47.82008098</v>
      </c>
      <c r="H25">
        <f>6.399572985</f>
        <v>6.3995729849999998</v>
      </c>
      <c r="I25">
        <f>54.21965397</f>
        <v>54.219653970000003</v>
      </c>
      <c r="J25">
        <f>84.448144</f>
        <v>84.448143999999999</v>
      </c>
      <c r="K25">
        <f>7.764081</f>
        <v>7.764081</v>
      </c>
      <c r="L25">
        <f>3337.0314</f>
        <v>3337.0313999999998</v>
      </c>
    </row>
    <row r="26" spans="1:12" x14ac:dyDescent="0.25">
      <c r="A26">
        <f>0.84</f>
        <v>0.84</v>
      </c>
      <c r="B26">
        <f>51.47236594</f>
        <v>51.472365940000003</v>
      </c>
      <c r="C26">
        <f>49.74214263</f>
        <v>49.742142629999996</v>
      </c>
      <c r="D26">
        <f>24.94425026</f>
        <v>24.94425026</v>
      </c>
      <c r="E26">
        <f>74.68639289</f>
        <v>74.686392889999993</v>
      </c>
      <c r="F26">
        <f>50.14815013</f>
        <v>50.148150129999998</v>
      </c>
      <c r="G26">
        <f>48.46243982</f>
        <v>48.46243982</v>
      </c>
      <c r="H26">
        <f>6.39770245</f>
        <v>6.3977024499999997</v>
      </c>
      <c r="I26">
        <f>54.86014226</f>
        <v>54.860142260000003</v>
      </c>
      <c r="J26">
        <f>78.762113</f>
        <v>78.762112999999999</v>
      </c>
      <c r="K26">
        <f>7.9739062</f>
        <v>7.9739062000000001</v>
      </c>
      <c r="L26">
        <f>3075.2919</f>
        <v>3075.2919000000002</v>
      </c>
    </row>
    <row r="27" spans="1:12" x14ac:dyDescent="0.25">
      <c r="A27">
        <f>0.85</f>
        <v>0.85</v>
      </c>
      <c r="B27">
        <f>52.0851322</f>
        <v>52.085132199999997</v>
      </c>
      <c r="C27">
        <f>50.40253362</f>
        <v>50.40253362</v>
      </c>
      <c r="D27">
        <f>24.78013958</f>
        <v>24.78013958</v>
      </c>
      <c r="E27">
        <f>75.1826732</f>
        <v>75.182673199999996</v>
      </c>
      <c r="F27">
        <f>50.74515191</f>
        <v>50.745151909999997</v>
      </c>
      <c r="G27">
        <f>49.1058411</f>
        <v>49.105841099999999</v>
      </c>
      <c r="H27">
        <f>6.396961196</f>
        <v>6.3969611960000003</v>
      </c>
      <c r="I27">
        <f>55.5028023</f>
        <v>55.502802299999999</v>
      </c>
      <c r="J27">
        <f>72.771685</f>
        <v>72.771685000000005</v>
      </c>
      <c r="K27">
        <f>8.2006226</f>
        <v>8.2006226000000009</v>
      </c>
      <c r="L27">
        <f>2807.9656</f>
        <v>2807.9656</v>
      </c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opLeftCell="A25" workbookViewId="0">
      <selection activeCell="J33" sqref="J33"/>
    </sheetView>
  </sheetViews>
  <sheetFormatPr defaultRowHeight="15" x14ac:dyDescent="0.25"/>
  <sheetData>
    <row r="1" spans="1:12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</row>
    <row r="2" spans="1:12" x14ac:dyDescent="0.25">
      <c r="A2">
        <f>0.6</f>
        <v>0.6</v>
      </c>
      <c r="B2">
        <f>37.22555036</f>
        <v>37.22555036</v>
      </c>
      <c r="C2">
        <f>34.42108557</f>
        <v>34.421085570000002</v>
      </c>
      <c r="D2">
        <f>27.62115047</f>
        <v>27.62115047</v>
      </c>
      <c r="E2">
        <f>62.04223604</f>
        <v>62.042236039999999</v>
      </c>
      <c r="F2">
        <f>36.26785857</f>
        <v>36.267858570000001</v>
      </c>
      <c r="G2">
        <f>33.53554349</f>
        <v>33.535543490000002</v>
      </c>
      <c r="H2">
        <f>6.314257972</f>
        <v>6.3142579720000001</v>
      </c>
      <c r="I2">
        <f>39.84980146</f>
        <v>39.849801460000002</v>
      </c>
      <c r="J2">
        <f>162.45579</f>
        <v>162.45579000000001</v>
      </c>
      <c r="K2">
        <f>4.9726435</f>
        <v>4.9726435000000002</v>
      </c>
      <c r="L2">
        <f>8880.3936</f>
        <v>8880.3935999999994</v>
      </c>
    </row>
    <row r="3" spans="1:12" x14ac:dyDescent="0.25">
      <c r="A3">
        <f>0.61</f>
        <v>0.61</v>
      </c>
      <c r="B3">
        <f>37.8459762</f>
        <v>37.845976200000003</v>
      </c>
      <c r="C3">
        <f>35.0841916</f>
        <v>35.084191599999997</v>
      </c>
      <c r="D3">
        <f>27.47402017</f>
        <v>27.474020169999999</v>
      </c>
      <c r="E3">
        <f>62.55821176</f>
        <v>62.558211759999999</v>
      </c>
      <c r="F3">
        <f>36.87232288</f>
        <v>36.872322879999999</v>
      </c>
      <c r="G3">
        <f>34.18158997</f>
        <v>34.181589969999997</v>
      </c>
      <c r="H3">
        <f>6.299556364</f>
        <v>6.2995563639999999</v>
      </c>
      <c r="I3">
        <f>40.48114633</f>
        <v>40.481146330000001</v>
      </c>
      <c r="J3">
        <f>160.77258</f>
        <v>160.77258</v>
      </c>
      <c r="K3">
        <f>5.0497013</f>
        <v>5.0497012999999997</v>
      </c>
      <c r="L3">
        <f>8644.3118</f>
        <v>8644.3117999999995</v>
      </c>
    </row>
    <row r="4" spans="1:12" x14ac:dyDescent="0.25">
      <c r="A4">
        <f>0.62</f>
        <v>0.62</v>
      </c>
      <c r="B4">
        <f>38.46640204</f>
        <v>38.466402039999998</v>
      </c>
      <c r="C4">
        <f>35.74733263</f>
        <v>35.747332630000002</v>
      </c>
      <c r="D4">
        <f>27.3267703</f>
        <v>27.3267703</v>
      </c>
      <c r="E4">
        <f>63.07410293</f>
        <v>63.074102930000002</v>
      </c>
      <c r="F4">
        <f>37.47678719</f>
        <v>37.476787190000003</v>
      </c>
      <c r="G4">
        <f>34.82767055</f>
        <v>34.827670550000001</v>
      </c>
      <c r="H4">
        <f>6.285083921</f>
        <v>6.285083921</v>
      </c>
      <c r="I4">
        <f>41.11275447</f>
        <v>41.112754469999999</v>
      </c>
      <c r="J4">
        <f>158.94077</f>
        <v>158.94076999999999</v>
      </c>
      <c r="K4">
        <f>5.1292512</f>
        <v>5.1292511999999997</v>
      </c>
      <c r="L4">
        <f>8407.9842</f>
        <v>8407.9842000000008</v>
      </c>
    </row>
    <row r="5" spans="1:12" x14ac:dyDescent="0.25">
      <c r="A5">
        <f>0.63</f>
        <v>0.63</v>
      </c>
      <c r="B5">
        <f>39.08682788</f>
        <v>39.086827880000001</v>
      </c>
      <c r="C5">
        <f>36.41051182</f>
        <v>36.410511820000004</v>
      </c>
      <c r="D5">
        <f>27.17939005</f>
        <v>27.179390049999999</v>
      </c>
      <c r="E5">
        <f>63.58990187</f>
        <v>63.589901869999998</v>
      </c>
      <c r="F5">
        <f>38.0812515</f>
        <v>38.0812515</v>
      </c>
      <c r="G5">
        <f>35.47378831</f>
        <v>35.473788310000003</v>
      </c>
      <c r="H5">
        <f>6.270850906</f>
        <v>6.2708509059999997</v>
      </c>
      <c r="I5">
        <f>41.74463922</f>
        <v>41.744639220000003</v>
      </c>
      <c r="J5">
        <f>156.95972</f>
        <v>156.95972</v>
      </c>
      <c r="K5">
        <f>5.2114221</f>
        <v>5.2114221000000001</v>
      </c>
      <c r="L5">
        <f>8171.3902</f>
        <v>8171.3901999999998</v>
      </c>
    </row>
    <row r="6" spans="1:12" x14ac:dyDescent="0.25">
      <c r="A6">
        <f>0.64</f>
        <v>0.64</v>
      </c>
      <c r="B6">
        <f>39.70725372</f>
        <v>39.707253719999997</v>
      </c>
      <c r="C6">
        <f>37.07373273</f>
        <v>37.073732730000003</v>
      </c>
      <c r="D6">
        <f>27.03186722</f>
        <v>27.031867219999999</v>
      </c>
      <c r="E6">
        <f>64.10559995</f>
        <v>64.105599949999998</v>
      </c>
      <c r="F6">
        <f>38.68571581</f>
        <v>38.685715809999998</v>
      </c>
      <c r="G6">
        <f>36.11994671</f>
        <v>36.119946710000001</v>
      </c>
      <c r="H6">
        <f>6.256868225</f>
        <v>6.2568682249999998</v>
      </c>
      <c r="I6">
        <f>42.37681494</f>
        <v>42.376814940000003</v>
      </c>
      <c r="J6">
        <f>154.82877</f>
        <v>154.82876999999999</v>
      </c>
      <c r="K6">
        <f>5.2963527</f>
        <v>5.2963526999999999</v>
      </c>
      <c r="L6">
        <f>7934.5071</f>
        <v>7934.5070999999998</v>
      </c>
    </row>
    <row r="7" spans="1:12" x14ac:dyDescent="0.25">
      <c r="A7">
        <f>0.65</f>
        <v>0.65</v>
      </c>
      <c r="B7">
        <f>40.32767956</f>
        <v>40.32767956</v>
      </c>
      <c r="C7">
        <f>37.73699938</f>
        <v>37.73699938</v>
      </c>
      <c r="D7">
        <f>26.88418802</f>
        <v>26.88418802</v>
      </c>
      <c r="E7">
        <f>64.62118739</f>
        <v>64.621187390000003</v>
      </c>
      <c r="F7">
        <f>39.29018012</f>
        <v>39.290180120000002</v>
      </c>
      <c r="G7">
        <f>36.76614967</f>
        <v>36.766149669999997</v>
      </c>
      <c r="H7">
        <f>6.243147492</f>
        <v>6.2431474920000003</v>
      </c>
      <c r="I7">
        <f>43.00929717</f>
        <v>43.009297170000004</v>
      </c>
      <c r="J7">
        <f>152.54712</f>
        <v>152.54712000000001</v>
      </c>
      <c r="K7">
        <f>5.3841928</f>
        <v>5.3841928000000001</v>
      </c>
      <c r="L7">
        <f>7697.3092</f>
        <v>7697.3091999999997</v>
      </c>
    </row>
    <row r="8" spans="1:12" x14ac:dyDescent="0.25">
      <c r="A8">
        <f>0.66</f>
        <v>0.66</v>
      </c>
      <c r="B8">
        <f>40.9481054</f>
        <v>40.948105400000003</v>
      </c>
      <c r="C8">
        <f>38.40031632</f>
        <v>38.400316320000002</v>
      </c>
      <c r="D8">
        <f>26.73633679</f>
        <v>26.736336789999999</v>
      </c>
      <c r="E8">
        <f>65.1366531</f>
        <v>65.136653100000004</v>
      </c>
      <c r="F8">
        <f>39.89464443</f>
        <v>39.89464443</v>
      </c>
      <c r="G8">
        <f>37.41240164</f>
        <v>37.412401639999999</v>
      </c>
      <c r="H8">
        <f>6.229701089</f>
        <v>6.2297010889999997</v>
      </c>
      <c r="I8">
        <f>43.64210273</f>
        <v>43.642102729999998</v>
      </c>
      <c r="J8">
        <f>150.11392</f>
        <v>150.11392000000001</v>
      </c>
      <c r="K8">
        <f>5.475104</f>
        <v>5.475104</v>
      </c>
      <c r="L8">
        <f>7459.7678</f>
        <v>7459.7677999999996</v>
      </c>
    </row>
    <row r="9" spans="1:12" x14ac:dyDescent="0.25">
      <c r="A9">
        <f>0.67</f>
        <v>0.67</v>
      </c>
      <c r="B9">
        <f>41.56853124</f>
        <v>41.568531239999999</v>
      </c>
      <c r="C9">
        <f>39.06368876</f>
        <v>39.063688759999998</v>
      </c>
      <c r="D9">
        <f>26.58829566</f>
        <v>26.58829566</v>
      </c>
      <c r="E9">
        <f>65.65198442</f>
        <v>65.651984420000005</v>
      </c>
      <c r="F9">
        <f>40.49910874</f>
        <v>40.499108739999997</v>
      </c>
      <c r="G9">
        <f>38.05870767</f>
        <v>38.058707669999997</v>
      </c>
      <c r="H9">
        <f>6.216542234</f>
        <v>6.2165422340000003</v>
      </c>
      <c r="I9">
        <f>44.27524991</f>
        <v>44.275249909999999</v>
      </c>
      <c r="J9">
        <f>147.52819</f>
        <v>147.52819</v>
      </c>
      <c r="K9">
        <f>5.5692618</f>
        <v>5.5692617999999996</v>
      </c>
      <c r="L9">
        <f>7221.8502</f>
        <v>7221.8501999999999</v>
      </c>
    </row>
    <row r="10" spans="1:12" x14ac:dyDescent="0.25">
      <c r="A10">
        <f>0.68</f>
        <v>0.68</v>
      </c>
      <c r="B10">
        <f>42.18895708</f>
        <v>42.188957080000002</v>
      </c>
      <c r="C10">
        <f>39.72712267</f>
        <v>39.72712267</v>
      </c>
      <c r="D10">
        <f>26.44004415</f>
        <v>26.440044149999999</v>
      </c>
      <c r="E10">
        <f>66.16716682</f>
        <v>66.167166820000006</v>
      </c>
      <c r="F10">
        <f>41.10357305</f>
        <v>41.103573050000001</v>
      </c>
      <c r="G10">
        <f>38.7050736</f>
        <v>38.705073599999999</v>
      </c>
      <c r="H10">
        <f>6.203685067</f>
        <v>6.2036850670000003</v>
      </c>
      <c r="I10">
        <f>44.90875866</f>
        <v>44.908758659999997</v>
      </c>
      <c r="J10">
        <f>144.7888</f>
        <v>144.78880000000001</v>
      </c>
      <c r="K10">
        <f>5.6668568</f>
        <v>5.6668567999999997</v>
      </c>
      <c r="L10">
        <f>6983.5192</f>
        <v>6983.5191999999997</v>
      </c>
    </row>
    <row r="11" spans="1:12" x14ac:dyDescent="0.25">
      <c r="A11">
        <f>0.69</f>
        <v>0.69</v>
      </c>
      <c r="B11">
        <f>42.80938292</f>
        <v>42.809382919999997</v>
      </c>
      <c r="C11">
        <f>40.39062492</f>
        <v>40.39062492</v>
      </c>
      <c r="D11">
        <f>26.29155865</f>
        <v>26.291558649999999</v>
      </c>
      <c r="E11">
        <f>66.68218357</f>
        <v>66.682183570000007</v>
      </c>
      <c r="F11">
        <f>41.70803736</f>
        <v>41.708037359999999</v>
      </c>
      <c r="G11">
        <f>39.3515061</f>
        <v>39.351506100000002</v>
      </c>
      <c r="H11">
        <f>6.191144738</f>
        <v>6.1911447380000002</v>
      </c>
      <c r="I11">
        <f>45.54265084</f>
        <v>45.54265084</v>
      </c>
      <c r="J11">
        <f>141.8945</f>
        <v>141.89449999999999</v>
      </c>
      <c r="K11">
        <f>5.7680967</f>
        <v>5.7680967000000001</v>
      </c>
      <c r="L11">
        <f>6744.7325</f>
        <v>6744.7325000000001</v>
      </c>
    </row>
    <row r="12" spans="1:12" x14ac:dyDescent="0.25">
      <c r="A12">
        <f>0.7</f>
        <v>0.7</v>
      </c>
      <c r="B12">
        <f>43.42980876</f>
        <v>43.42980876</v>
      </c>
      <c r="C12">
        <f>41.05420348</f>
        <v>41.054203479999998</v>
      </c>
      <c r="D12">
        <f>26.14281179</f>
        <v>26.14281179</v>
      </c>
      <c r="E12">
        <f>67.19701527</f>
        <v>67.197015269999994</v>
      </c>
      <c r="F12">
        <f>42.31250167</f>
        <v>42.312501670000003</v>
      </c>
      <c r="G12">
        <f>39.99801295</f>
        <v>39.998012950000003</v>
      </c>
      <c r="H12">
        <f>6.178937515</f>
        <v>6.1789375150000003</v>
      </c>
      <c r="I12">
        <f>46.17695047</f>
        <v>46.176950470000001</v>
      </c>
      <c r="J12">
        <f>138.84382</f>
        <v>138.84381999999999</v>
      </c>
      <c r="K12">
        <f>5.873209</f>
        <v>5.8732090000000001</v>
      </c>
      <c r="L12">
        <f>6505.4415</f>
        <v>6505.4414999999999</v>
      </c>
    </row>
    <row r="13" spans="1:12" x14ac:dyDescent="0.25">
      <c r="A13">
        <f>0.71</f>
        <v>0.71</v>
      </c>
      <c r="B13">
        <f>44.0502346</f>
        <v>44.050234600000003</v>
      </c>
      <c r="C13">
        <f>41.71786764</f>
        <v>41.717867640000001</v>
      </c>
      <c r="D13">
        <f>25.99377167</f>
        <v>25.993771670000001</v>
      </c>
      <c r="E13">
        <f>67.7116393</f>
        <v>67.711639300000002</v>
      </c>
      <c r="F13">
        <f>42.91696598</f>
        <v>42.916965980000001</v>
      </c>
      <c r="G13">
        <f>40.6446032</f>
        <v>40.644603199999999</v>
      </c>
      <c r="H13">
        <f>6.167080904</f>
        <v>6.1670809039999996</v>
      </c>
      <c r="I13">
        <f>46.8116841</f>
        <v>46.811684100000001</v>
      </c>
      <c r="J13">
        <f>135.63508</f>
        <v>135.63507999999999</v>
      </c>
      <c r="K13">
        <f>5.9824436</f>
        <v>5.9824435999999999</v>
      </c>
      <c r="L13">
        <f>6265.5899</f>
        <v>6265.5898999999999</v>
      </c>
    </row>
    <row r="14" spans="1:12" x14ac:dyDescent="0.25">
      <c r="A14">
        <f>0.72</f>
        <v>0.72</v>
      </c>
      <c r="B14">
        <f>44.67066044</f>
        <v>44.670660439999999</v>
      </c>
      <c r="C14">
        <f>42.38162829</f>
        <v>42.381628290000002</v>
      </c>
      <c r="D14">
        <f>25.84440079</f>
        <v>25.844400790000002</v>
      </c>
      <c r="E14">
        <f>68.22602909</f>
        <v>68.226029089999997</v>
      </c>
      <c r="F14">
        <f>43.52143029</f>
        <v>43.521430289999998</v>
      </c>
      <c r="G14">
        <f>41.29128746</f>
        <v>41.291287459999999</v>
      </c>
      <c r="H14">
        <f>6.15559379</f>
        <v>6.1555937900000002</v>
      </c>
      <c r="I14">
        <f>47.44688125</f>
        <v>47.446881249999997</v>
      </c>
      <c r="J14">
        <f>132.26635</f>
        <v>132.26634999999999</v>
      </c>
      <c r="K14">
        <f>6.0960763</f>
        <v>6.0960763</v>
      </c>
      <c r="L14">
        <f>6025.1124</f>
        <v>6025.1124</v>
      </c>
    </row>
    <row r="15" spans="1:12" x14ac:dyDescent="0.25">
      <c r="A15">
        <f>0.73</f>
        <v>0.73</v>
      </c>
      <c r="B15">
        <f>45.29108628</f>
        <v>45.291086280000002</v>
      </c>
      <c r="C15">
        <f>43.04549835</f>
        <v>43.045498350000003</v>
      </c>
      <c r="D15">
        <f>25.69465479</f>
        <v>25.694654790000001</v>
      </c>
      <c r="E15">
        <f>68.74015314</f>
        <v>68.740153140000004</v>
      </c>
      <c r="F15">
        <f>44.1258946</f>
        <v>44.125894600000002</v>
      </c>
      <c r="G15">
        <f>41.93807831</f>
        <v>41.938078310000002</v>
      </c>
      <c r="H15">
        <f>6.1444966</f>
        <v>6.1444966000000001</v>
      </c>
      <c r="I15">
        <f>48.08257491</f>
        <v>48.082574909999998</v>
      </c>
      <c r="J15">
        <f>128.73535</f>
        <v>128.73535000000001</v>
      </c>
      <c r="K15">
        <f>6.2144132</f>
        <v>6.2144132000000001</v>
      </c>
      <c r="L15">
        <f>5783.9325</f>
        <v>5783.9324999999999</v>
      </c>
    </row>
    <row r="16" spans="1:12" x14ac:dyDescent="0.25">
      <c r="A16">
        <f>0.74</f>
        <v>0.74</v>
      </c>
      <c r="B16">
        <f>45.91151212</f>
        <v>45.911512119999998</v>
      </c>
      <c r="C16">
        <f>43.70949321</f>
        <v>43.709493209999998</v>
      </c>
      <c r="D16">
        <f>25.54448079</f>
        <v>25.544480790000001</v>
      </c>
      <c r="E16">
        <f>69.25397399</f>
        <v>69.253973990000006</v>
      </c>
      <c r="F16">
        <f>44.73035891</f>
        <v>44.73035891</v>
      </c>
      <c r="G16">
        <f>42.58499075</f>
        <v>42.584990750000003</v>
      </c>
      <c r="H16">
        <f>6.133811538</f>
        <v>6.1338115379999998</v>
      </c>
      <c r="I16">
        <f>48.71880229</f>
        <v>48.718802289999999</v>
      </c>
      <c r="J16">
        <f>125.03939</f>
        <v>125.03939</v>
      </c>
      <c r="K16">
        <f>6.3377957</f>
        <v>6.3377957</v>
      </c>
      <c r="L16">
        <f>5541.9599</f>
        <v>5541.9598999999998</v>
      </c>
    </row>
    <row r="17" spans="1:12" x14ac:dyDescent="0.25">
      <c r="A17">
        <f>0.75</f>
        <v>0.75</v>
      </c>
      <c r="B17">
        <f>46.53193796</f>
        <v>46.53193796</v>
      </c>
      <c r="C17">
        <f>44.37363138</f>
        <v>44.373631379999999</v>
      </c>
      <c r="D17">
        <f>25.39381506</f>
        <v>25.393815060000001</v>
      </c>
      <c r="E17">
        <f>69.76744644</f>
        <v>69.767446440000001</v>
      </c>
      <c r="F17">
        <f>45.33482322</f>
        <v>45.334823219999997</v>
      </c>
      <c r="G17">
        <f>43.23204282</f>
        <v>43.232042819999997</v>
      </c>
      <c r="H17">
        <f>6.123562778</f>
        <v>6.1235627780000002</v>
      </c>
      <c r="I17">
        <f>49.3556056</f>
        <v>49.355605599999997</v>
      </c>
      <c r="J17">
        <f>121.17529</f>
        <v>121.17529</v>
      </c>
      <c r="K17">
        <f>6.4666077</f>
        <v>6.4666077</v>
      </c>
      <c r="L17">
        <f>5299.0872</f>
        <v>5299.0871999999999</v>
      </c>
    </row>
    <row r="18" spans="1:12" x14ac:dyDescent="0.25">
      <c r="A18">
        <f>0.76</f>
        <v>0.76</v>
      </c>
      <c r="B18">
        <f>47.15236379</f>
        <v>47.152363790000003</v>
      </c>
      <c r="C18">
        <f>45.03793542</f>
        <v>45.037935419999997</v>
      </c>
      <c r="D18">
        <f>25.24258008</f>
        <v>25.24258008</v>
      </c>
      <c r="E18">
        <f>70.2805155</f>
        <v>70.280515500000007</v>
      </c>
      <c r="F18">
        <f>45.93928753</f>
        <v>45.939287530000001</v>
      </c>
      <c r="G18">
        <f>43.87925649</f>
        <v>43.879256490000003</v>
      </c>
      <c r="H18">
        <f>6.113776797</f>
        <v>6.1137767969999999</v>
      </c>
      <c r="I18">
        <f>49.99303328</f>
        <v>49.993033279999999</v>
      </c>
      <c r="J18">
        <f>117.13923</f>
        <v>117.13923</v>
      </c>
      <c r="K18">
        <f>6.601284</f>
        <v>6.6012839999999997</v>
      </c>
      <c r="L18">
        <f>5055.1851</f>
        <v>5055.1850999999997</v>
      </c>
    </row>
    <row r="19" spans="1:12" x14ac:dyDescent="0.25">
      <c r="A19">
        <f>0.77</f>
        <v>0.77</v>
      </c>
      <c r="B19">
        <f>47.77278963</f>
        <v>47.772789629999998</v>
      </c>
      <c r="C19">
        <f>45.70243306</f>
        <v>45.702433059999997</v>
      </c>
      <c r="D19">
        <f>25.09068041</f>
        <v>25.090680410000001</v>
      </c>
      <c r="E19">
        <f>70.79311348</f>
        <v>70.793113480000002</v>
      </c>
      <c r="F19">
        <f>46.54375184</f>
        <v>46.543751839999999</v>
      </c>
      <c r="G19">
        <f>44.52665877</f>
        <v>44.526658769999997</v>
      </c>
      <c r="H19">
        <f>6.104482748</f>
        <v>6.1044827479999997</v>
      </c>
      <c r="I19">
        <f>50.63114152</f>
        <v>50.63114152</v>
      </c>
      <c r="J19">
        <f>112.9266</f>
        <v>112.92659999999999</v>
      </c>
      <c r="K19">
        <f>6.742322</f>
        <v>6.7423219999999997</v>
      </c>
      <c r="L19">
        <f>4810.0967</f>
        <v>4810.0967000000001</v>
      </c>
    </row>
    <row r="20" spans="1:12" x14ac:dyDescent="0.25">
      <c r="A20">
        <f>0.78</f>
        <v>0.78</v>
      </c>
      <c r="B20">
        <f>48.39321547</f>
        <v>48.393215470000001</v>
      </c>
      <c r="C20">
        <f>46.3671589</f>
        <v>46.3671589</v>
      </c>
      <c r="D20">
        <f>24.93799704</f>
        <v>24.937997039999999</v>
      </c>
      <c r="E20">
        <f>71.30515594</f>
        <v>71.305155940000006</v>
      </c>
      <c r="F20">
        <f>47.14821615</f>
        <v>47.148216150000003</v>
      </c>
      <c r="G20">
        <f>45.17428339</f>
        <v>45.174283389999999</v>
      </c>
      <c r="H20">
        <f>6.095712946</f>
        <v>6.0957129459999999</v>
      </c>
      <c r="I20">
        <f>51.26999633</f>
        <v>51.269996329999998</v>
      </c>
      <c r="J20">
        <f>108.5317</f>
        <v>108.5317</v>
      </c>
      <c r="K20">
        <f>6.8902971</f>
        <v>6.8902970999999997</v>
      </c>
      <c r="L20">
        <f>4563.6285</f>
        <v>4563.6284999999998</v>
      </c>
    </row>
    <row r="21" spans="1:12" x14ac:dyDescent="0.25">
      <c r="A21">
        <f>0.79</f>
        <v>0.79</v>
      </c>
      <c r="B21">
        <f>49.01364131</f>
        <v>49.013641309999997</v>
      </c>
      <c r="C21">
        <f>47.03215674</f>
        <v>47.032156739999998</v>
      </c>
      <c r="D21">
        <f>24.78437918</f>
        <v>24.784379179999998</v>
      </c>
      <c r="E21">
        <f>71.81653593</f>
        <v>71.816535930000001</v>
      </c>
      <c r="F21">
        <f>47.75268046</f>
        <v>47.752680460000001</v>
      </c>
      <c r="G21">
        <f>45.82217301</f>
        <v>45.82217301</v>
      </c>
      <c r="H21">
        <f>6.087503515</f>
        <v>6.0875035149999999</v>
      </c>
      <c r="I21">
        <f>51.90967652</f>
        <v>51.909676519999998</v>
      </c>
      <c r="J21">
        <f>103.94746</f>
        <v>103.94746000000001</v>
      </c>
      <c r="K21">
        <f>7.045884</f>
        <v>7.045884</v>
      </c>
      <c r="L21">
        <f>4315.5392</f>
        <v>4315.5392000000002</v>
      </c>
    </row>
    <row r="22" spans="1:12" x14ac:dyDescent="0.25">
      <c r="A22">
        <f>0.8</f>
        <v>0.8</v>
      </c>
      <c r="B22">
        <f>49.63406715</f>
        <v>49.63406715</v>
      </c>
      <c r="C22">
        <f>47.69748307</f>
        <v>47.697483069999997</v>
      </c>
      <c r="D22">
        <f>24.62963249</f>
        <v>24.629632489999999</v>
      </c>
      <c r="E22">
        <f>72.32711556</f>
        <v>72.327115559999996</v>
      </c>
      <c r="F22">
        <f>48.35714476</f>
        <v>48.357144759999997</v>
      </c>
      <c r="G22">
        <f>46.47038266</f>
        <v>46.470382659999999</v>
      </c>
      <c r="H22">
        <f>6.079895263</f>
        <v>6.079895263</v>
      </c>
      <c r="I22">
        <f>52.55027793</f>
        <v>52.55027793</v>
      </c>
      <c r="J22">
        <f>99.164917</f>
        <v>99.164917000000003</v>
      </c>
      <c r="K22">
        <f>7.2098873</f>
        <v>7.2098873000000001</v>
      </c>
      <c r="L22">
        <f>4065.5222</f>
        <v>4065.5221999999999</v>
      </c>
    </row>
    <row r="23" spans="1:12" x14ac:dyDescent="0.25">
      <c r="A23">
        <f>0.81</f>
        <v>0.81</v>
      </c>
      <c r="B23">
        <f>50.25449299</f>
        <v>50.254492990000003</v>
      </c>
      <c r="C23">
        <f>48.3632122</f>
        <v>48.3632122</v>
      </c>
      <c r="D23">
        <f>24.47350111</f>
        <v>24.473501110000001</v>
      </c>
      <c r="E23">
        <f>72.83671332</f>
        <v>72.836713320000001</v>
      </c>
      <c r="F23">
        <f>48.96160907</f>
        <v>48.961609070000002</v>
      </c>
      <c r="G23">
        <f>47.11898476</f>
        <v>47.118984759999996</v>
      </c>
      <c r="H23">
        <f>6.072934929</f>
        <v>6.0729349289999996</v>
      </c>
      <c r="I23">
        <f>53.19191969</f>
        <v>53.191919689999999</v>
      </c>
      <c r="J23">
        <f>94.172495</f>
        <v>94.172494999999998</v>
      </c>
      <c r="K23">
        <f>7.3832858</f>
        <v>7.3832858000000003</v>
      </c>
      <c r="L23">
        <f>3813.1802</f>
        <v>3813.1801999999998</v>
      </c>
    </row>
    <row r="24" spans="1:12" x14ac:dyDescent="0.25">
      <c r="A24">
        <f>0.82</f>
        <v>0.82</v>
      </c>
      <c r="B24">
        <f>50.87491883</f>
        <v>50.874918829999999</v>
      </c>
      <c r="C24">
        <f>49.02944184</f>
        <v>49.029441839999997</v>
      </c>
      <c r="D24">
        <f>24.31564872</f>
        <v>24.315648719999999</v>
      </c>
      <c r="E24">
        <f>73.34509057</f>
        <v>73.345090569999996</v>
      </c>
      <c r="F24">
        <f>49.56607338</f>
        <v>49.566073379999999</v>
      </c>
      <c r="G24">
        <f>47.76807449</f>
        <v>47.768074489999997</v>
      </c>
      <c r="H24">
        <f>6.066677348</f>
        <v>6.0666773479999998</v>
      </c>
      <c r="I24">
        <f>53.83475184</f>
        <v>53.834751840000003</v>
      </c>
      <c r="J24">
        <f>88.959041</f>
        <v>88.959040999999999</v>
      </c>
      <c r="K24">
        <f>7.5672906</f>
        <v>7.5672905999999998</v>
      </c>
      <c r="L24">
        <f>3558.1521</f>
        <v>3558.1520999999998</v>
      </c>
    </row>
    <row r="25" spans="1:12" x14ac:dyDescent="0.25">
      <c r="A25">
        <f>0.83</f>
        <v>0.83</v>
      </c>
      <c r="B25">
        <f>51.49534467</f>
        <v>51.495344670000001</v>
      </c>
      <c r="C25">
        <f>49.69631671</f>
        <v>49.696316709999998</v>
      </c>
      <c r="D25">
        <f>24.15557702</f>
        <v>24.155577019999999</v>
      </c>
      <c r="E25">
        <f>73.85189373</f>
        <v>73.85189373</v>
      </c>
      <c r="F25">
        <f>50.17053769</f>
        <v>50.170537690000003</v>
      </c>
      <c r="G25">
        <f>48.41779284</f>
        <v>48.417792839999997</v>
      </c>
      <c r="H25">
        <f>6.06118692</f>
        <v>6.0611869199999999</v>
      </c>
      <c r="I25">
        <f>54.47897976</f>
        <v>54.478979760000001</v>
      </c>
      <c r="J25">
        <f>83.494942</f>
        <v>83.494941999999995</v>
      </c>
      <c r="K25">
        <f>7.7634964</f>
        <v>7.7634964000000002</v>
      </c>
      <c r="L25">
        <f>3299.3649</f>
        <v>3299.3649</v>
      </c>
    </row>
    <row r="26" spans="1:12" x14ac:dyDescent="0.25">
      <c r="A26">
        <f>0.84</f>
        <v>0.84</v>
      </c>
      <c r="B26">
        <f>52.11577051</f>
        <v>52.115770509999997</v>
      </c>
      <c r="C26">
        <f>50.36403597</f>
        <v>50.364035970000003</v>
      </c>
      <c r="D26">
        <f>23.9926002</f>
        <v>23.992600199999998</v>
      </c>
      <c r="E26">
        <f>74.35663616</f>
        <v>74.356636159999994</v>
      </c>
      <c r="F26">
        <f>50.775002</f>
        <v>50.775002000000001</v>
      </c>
      <c r="G26">
        <f>49.06833387</f>
        <v>49.068333869999996</v>
      </c>
      <c r="H26">
        <f>6.056544447</f>
        <v>6.0565444470000003</v>
      </c>
      <c r="I26">
        <f>55.12487831</f>
        <v>55.12487831</v>
      </c>
      <c r="J26">
        <f>77.755429</f>
        <v>77.755429000000007</v>
      </c>
      <c r="K26">
        <f>7.9740061</f>
        <v>7.9740061000000004</v>
      </c>
      <c r="L26">
        <f>3035.9856</f>
        <v>3035.9856</v>
      </c>
    </row>
    <row r="27" spans="1:12" x14ac:dyDescent="0.25">
      <c r="A27">
        <f>0.85</f>
        <v>0.85</v>
      </c>
      <c r="B27">
        <f>52.73619635</f>
        <v>52.73619635</v>
      </c>
      <c r="C27">
        <f>51.03290596</f>
        <v>51.032905960000001</v>
      </c>
      <c r="D27">
        <f>23.8256633</f>
        <v>23.825663299999999</v>
      </c>
      <c r="E27">
        <f>74.85856926</f>
        <v>74.858569259999996</v>
      </c>
      <c r="F27">
        <f>51.37946631</f>
        <v>51.379466309999998</v>
      </c>
      <c r="G27">
        <f>49.71999602</f>
        <v>49.719996020000004</v>
      </c>
      <c r="H27">
        <f>6.052854073</f>
        <v>6.0528540729999998</v>
      </c>
      <c r="I27">
        <f>55.77285009</f>
        <v>55.772850089999999</v>
      </c>
      <c r="J27">
        <f>71.697038</f>
        <v>71.697038000000006</v>
      </c>
      <c r="K27">
        <f>8.2018121</f>
        <v>8.2018120999999997</v>
      </c>
      <c r="L27">
        <f>2766.4993</f>
        <v>2766.4992999999999</v>
      </c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opLeftCell="A19" workbookViewId="0">
      <selection activeCell="M24" sqref="M24"/>
    </sheetView>
  </sheetViews>
  <sheetFormatPr defaultRowHeight="15" x14ac:dyDescent="0.25"/>
  <sheetData>
    <row r="1" spans="1:12" x14ac:dyDescent="0.2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</row>
    <row r="2" spans="1:12" x14ac:dyDescent="0.25">
      <c r="A2">
        <f>0.6</f>
        <v>0.6</v>
      </c>
      <c r="B2">
        <f>37.68512506</f>
        <v>37.685125059999997</v>
      </c>
      <c r="C2">
        <f>34.84540024</f>
        <v>34.845400239999996</v>
      </c>
      <c r="D2">
        <f>26.7169237</f>
        <v>26.716923699999999</v>
      </c>
      <c r="E2">
        <f>61.56232393</f>
        <v>61.562323929999998</v>
      </c>
      <c r="F2">
        <f>36.71560991</f>
        <v>36.715609909999998</v>
      </c>
      <c r="G2">
        <f>33.94894193</f>
        <v>33.948941929999997</v>
      </c>
      <c r="H2">
        <f>6.022449844</f>
        <v>6.0224498439999996</v>
      </c>
      <c r="I2">
        <f>39.97139178</f>
        <v>39.971391779999998</v>
      </c>
      <c r="J2">
        <f>161.92619</f>
        <v>161.92618999999999</v>
      </c>
      <c r="K2">
        <f>4.9713608</f>
        <v>4.9713608000000002</v>
      </c>
      <c r="L2">
        <f>8851.4437</f>
        <v>8851.4436999999998</v>
      </c>
    </row>
    <row r="3" spans="1:12" x14ac:dyDescent="0.25">
      <c r="A3">
        <f>0.61</f>
        <v>0.61</v>
      </c>
      <c r="B3">
        <f>38.31321048</f>
        <v>38.313210480000002</v>
      </c>
      <c r="C3">
        <f>35.5166972</f>
        <v>35.516697200000003</v>
      </c>
      <c r="D3">
        <f>26.56796078</f>
        <v>26.56796078</v>
      </c>
      <c r="E3">
        <f>62.08465799</f>
        <v>62.084657989999997</v>
      </c>
      <c r="F3">
        <f>37.32753675</f>
        <v>37.32753675</v>
      </c>
      <c r="G3">
        <f>34.60296862</f>
        <v>34.602968619999999</v>
      </c>
      <c r="H3">
        <f>6.006506615</f>
        <v>6.0065066150000002</v>
      </c>
      <c r="I3">
        <f>40.60947523</f>
        <v>40.609475230000001</v>
      </c>
      <c r="J3">
        <f>160.23189</f>
        <v>160.23188999999999</v>
      </c>
      <c r="K3">
        <f>5.0483866</f>
        <v>5.0483865999999997</v>
      </c>
      <c r="L3">
        <f>8615.2404</f>
        <v>8615.2404000000006</v>
      </c>
    </row>
    <row r="4" spans="1:12" x14ac:dyDescent="0.25">
      <c r="A4">
        <f>0.62</f>
        <v>0.62</v>
      </c>
      <c r="B4">
        <f>38.9412959</f>
        <v>38.9412959</v>
      </c>
      <c r="C4">
        <f>36.18803002</f>
        <v>36.188030019999999</v>
      </c>
      <c r="D4">
        <f>26.41887537</f>
        <v>26.418875369999999</v>
      </c>
      <c r="E4">
        <f>62.60690539</f>
        <v>62.606905390000001</v>
      </c>
      <c r="F4">
        <f>37.93946358</f>
        <v>37.939463580000002</v>
      </c>
      <c r="G4">
        <f>35.25703023</f>
        <v>35.257030229999998</v>
      </c>
      <c r="H4">
        <f>5.990764461</f>
        <v>5.9907644610000004</v>
      </c>
      <c r="I4">
        <f>41.24779469</f>
        <v>41.247794689999999</v>
      </c>
      <c r="J4">
        <f>158.38876</f>
        <v>158.38875999999999</v>
      </c>
      <c r="K4">
        <f>5.1279038</f>
        <v>5.1279038000000003</v>
      </c>
      <c r="L4">
        <f>8378.7831</f>
        <v>8378.7831000000006</v>
      </c>
    </row>
    <row r="5" spans="1:12" x14ac:dyDescent="0.25">
      <c r="A5">
        <f>0.63</f>
        <v>0.63</v>
      </c>
      <c r="B5">
        <f>39.56938131</f>
        <v>39.569381309999997</v>
      </c>
      <c r="C5">
        <f>36.85940193</f>
        <v>36.859401929999997</v>
      </c>
      <c r="D5">
        <f>26.26965631</f>
        <v>26.269656309999998</v>
      </c>
      <c r="E5">
        <f>63.12905824</f>
        <v>63.129058239999999</v>
      </c>
      <c r="F5">
        <f>38.55139041</f>
        <v>38.551390410000003</v>
      </c>
      <c r="G5">
        <f>35.91112995</f>
        <v>35.911129950000003</v>
      </c>
      <c r="H5">
        <f>5.975232312</f>
        <v>5.9752323120000002</v>
      </c>
      <c r="I5">
        <f>41.88636226</f>
        <v>41.886362259999999</v>
      </c>
      <c r="J5">
        <f>156.39616</f>
        <v>156.39616000000001</v>
      </c>
      <c r="K5">
        <f>5.2100415</f>
        <v>5.2100415</v>
      </c>
      <c r="L5">
        <f>8142.0506</f>
        <v>8142.0505999999996</v>
      </c>
    </row>
    <row r="6" spans="1:12" x14ac:dyDescent="0.25">
      <c r="A6">
        <f>0.64</f>
        <v>0.64</v>
      </c>
      <c r="B6">
        <f>40.19746673</f>
        <v>40.197466730000002</v>
      </c>
      <c r="C6">
        <f>37.53081662</f>
        <v>37.530816620000003</v>
      </c>
      <c r="D6">
        <f>26.12029103</f>
        <v>26.120291030000001</v>
      </c>
      <c r="E6">
        <f>63.65110764</f>
        <v>63.651107639999999</v>
      </c>
      <c r="F6">
        <f>39.16331724</f>
        <v>39.163317239999998</v>
      </c>
      <c r="G6">
        <f>36.56527133</f>
        <v>36.565271330000002</v>
      </c>
      <c r="H6">
        <f>5.95991965</f>
        <v>5.9599196499999998</v>
      </c>
      <c r="I6">
        <f>42.52519098</f>
        <v>42.525190979999998</v>
      </c>
      <c r="J6">
        <f>154.25336</f>
        <v>154.25335999999999</v>
      </c>
      <c r="K6">
        <f>5.2949384</f>
        <v>5.2949384000000004</v>
      </c>
      <c r="L6">
        <f>7905.0191</f>
        <v>7905.0191000000004</v>
      </c>
    </row>
    <row r="7" spans="1:12" x14ac:dyDescent="0.25">
      <c r="A7">
        <f>0.65</f>
        <v>0.65</v>
      </c>
      <c r="B7">
        <f>40.82555215</f>
        <v>40.82555215</v>
      </c>
      <c r="C7">
        <f>38.20227821</f>
        <v>38.202278210000003</v>
      </c>
      <c r="D7">
        <f>25.9707653</f>
        <v>25.9707653</v>
      </c>
      <c r="E7">
        <f>64.17304352</f>
        <v>64.173043519999993</v>
      </c>
      <c r="F7">
        <f>39.77524407</f>
        <v>39.775244069999999</v>
      </c>
      <c r="G7">
        <f>37.21945841</f>
        <v>37.219458410000001</v>
      </c>
      <c r="H7">
        <f>5.944836555</f>
        <v>5.9448365550000002</v>
      </c>
      <c r="I7">
        <f>43.16429496</f>
        <v>43.164294959999999</v>
      </c>
      <c r="J7">
        <f>151.95956</f>
        <v>151.95956000000001</v>
      </c>
      <c r="K7">
        <f>5.3827445</f>
        <v>5.3827445000000003</v>
      </c>
      <c r="L7">
        <f>7667.6618</f>
        <v>7667.6617999999999</v>
      </c>
    </row>
    <row r="8" spans="1:12" x14ac:dyDescent="0.25">
      <c r="A8">
        <f>0.66</f>
        <v>0.66</v>
      </c>
      <c r="B8">
        <f>41.45363757</f>
        <v>41.453637569999998</v>
      </c>
      <c r="C8">
        <f>38.87379143</f>
        <v>38.873791429999997</v>
      </c>
      <c r="D8">
        <f>25.82106297</f>
        <v>25.82106297</v>
      </c>
      <c r="E8">
        <f>64.6948544</f>
        <v>64.694854399999997</v>
      </c>
      <c r="F8">
        <f>40.38717091</f>
        <v>40.387170910000002</v>
      </c>
      <c r="G8">
        <f>37.87369578</f>
        <v>37.873695779999998</v>
      </c>
      <c r="H8">
        <f>5.929993757</f>
        <v>5.9299937570000001</v>
      </c>
      <c r="I8">
        <f>43.80368954</f>
        <v>43.803689540000001</v>
      </c>
      <c r="J8">
        <f>149.51387</f>
        <v>149.51387</v>
      </c>
      <c r="K8">
        <f>5.4736217</f>
        <v>5.4736216999999998</v>
      </c>
      <c r="L8">
        <f>7429.9487</f>
        <v>7429.9486999999999</v>
      </c>
    </row>
    <row r="9" spans="1:12" x14ac:dyDescent="0.25">
      <c r="A9">
        <f>0.67</f>
        <v>0.67</v>
      </c>
      <c r="B9">
        <f>42.08172298</f>
        <v>42.081722980000002</v>
      </c>
      <c r="C9">
        <f>39.54536164</f>
        <v>39.545361640000003</v>
      </c>
      <c r="D9">
        <f>25.67116558</f>
        <v>25.67116558</v>
      </c>
      <c r="E9">
        <f>65.21652722</f>
        <v>65.216527220000003</v>
      </c>
      <c r="F9">
        <f>40.99909774</f>
        <v>40.999097740000003</v>
      </c>
      <c r="G9">
        <f>38.52798868</f>
        <v>38.52798868</v>
      </c>
      <c r="H9">
        <f>5.915402693</f>
        <v>5.9154026929999999</v>
      </c>
      <c r="I9">
        <f>44.44339138</f>
        <v>44.443391380000001</v>
      </c>
      <c r="J9">
        <f>146.91525</f>
        <v>146.91524999999999</v>
      </c>
      <c r="K9">
        <f>5.5677457</f>
        <v>5.5677456999999997</v>
      </c>
      <c r="L9">
        <f>7191.8457</f>
        <v>7191.8456999999999</v>
      </c>
    </row>
    <row r="10" spans="1:12" x14ac:dyDescent="0.25">
      <c r="A10">
        <f>0.68</f>
        <v>0.68</v>
      </c>
      <c r="B10">
        <f>42.7098084</f>
        <v>42.7098084</v>
      </c>
      <c r="C10">
        <f>40.21699501</f>
        <v>40.216995009999998</v>
      </c>
      <c r="D10">
        <f>25.52105194</f>
        <v>25.52105194</v>
      </c>
      <c r="E10">
        <f>65.73804695</f>
        <v>65.738046949999998</v>
      </c>
      <c r="F10">
        <f>41.61102457</f>
        <v>41.611024569999998</v>
      </c>
      <c r="G10">
        <f>39.18234312</f>
        <v>39.182343119999999</v>
      </c>
      <c r="H10">
        <f>5.901075572</f>
        <v>5.9010755719999999</v>
      </c>
      <c r="I10">
        <f>45.0834187</f>
        <v>45.083418700000003</v>
      </c>
      <c r="J10">
        <f>144.16255</f>
        <v>144.16255000000001</v>
      </c>
      <c r="K10">
        <f>5.6653074</f>
        <v>5.6653073999999997</v>
      </c>
      <c r="L10">
        <f>6953.3138</f>
        <v>6953.3137999999999</v>
      </c>
    </row>
    <row r="11" spans="1:12" x14ac:dyDescent="0.25">
      <c r="A11">
        <f>0.69</f>
        <v>0.69</v>
      </c>
      <c r="B11">
        <f>43.33789382</f>
        <v>43.337893819999998</v>
      </c>
      <c r="C11">
        <f>40.88869866</f>
        <v>40.888698660000003</v>
      </c>
      <c r="D11">
        <f>25.37069762</f>
        <v>25.370697620000001</v>
      </c>
      <c r="E11">
        <f>66.25939628</f>
        <v>66.259396280000004</v>
      </c>
      <c r="F11">
        <f>42.2229514</f>
        <v>42.222951399999999</v>
      </c>
      <c r="G11">
        <f>39.83676603</f>
        <v>39.83676603</v>
      </c>
      <c r="H11">
        <f>5.887025446</f>
        <v>5.887025446</v>
      </c>
      <c r="I11">
        <f>45.72379148</f>
        <v>45.723791480000003</v>
      </c>
      <c r="J11">
        <f>141.25444</f>
        <v>141.25443999999999</v>
      </c>
      <c r="K11">
        <f>5.7665151</f>
        <v>5.7665151000000003</v>
      </c>
      <c r="L11">
        <f>6714.3086</f>
        <v>6714.3086000000003</v>
      </c>
    </row>
    <row r="12" spans="1:12" x14ac:dyDescent="0.25">
      <c r="A12">
        <f>0.7</f>
        <v>0.7</v>
      </c>
      <c r="B12">
        <f>43.96597924</f>
        <v>43.965979240000003</v>
      </c>
      <c r="C12">
        <f>41.56048084</f>
        <v>41.560480839999997</v>
      </c>
      <c r="D12">
        <f>25.22007427</f>
        <v>25.220074270000001</v>
      </c>
      <c r="E12">
        <f>66.78055511</f>
        <v>66.780555109999995</v>
      </c>
      <c r="F12">
        <f>42.83487823</f>
        <v>42.834878230000001</v>
      </c>
      <c r="G12">
        <f>40.49126545</f>
        <v>40.49126545</v>
      </c>
      <c r="H12">
        <f>5.873266291</f>
        <v>5.8732662910000002</v>
      </c>
      <c r="I12">
        <f>46.36453174</f>
        <v>46.364531739999997</v>
      </c>
      <c r="J12">
        <f>138.1894</f>
        <v>138.18940000000001</v>
      </c>
      <c r="K12">
        <f>5.8715969</f>
        <v>5.8715969000000001</v>
      </c>
      <c r="L12">
        <f>6474.7792</f>
        <v>6474.7791999999999</v>
      </c>
    </row>
    <row r="13" spans="1:12" x14ac:dyDescent="0.25">
      <c r="A13">
        <f>0.71</f>
        <v>0.71</v>
      </c>
      <c r="B13">
        <f>44.59406465</f>
        <v>44.59406465</v>
      </c>
      <c r="C13">
        <f>42.23235118</f>
        <v>42.232351180000002</v>
      </c>
      <c r="D13">
        <f>25.06914876</f>
        <v>25.069148760000001</v>
      </c>
      <c r="E13">
        <f>67.30149994</f>
        <v>67.301499939999999</v>
      </c>
      <c r="F13">
        <f>43.44680506</f>
        <v>43.446805060000003</v>
      </c>
      <c r="G13">
        <f>41.14585077</f>
        <v>41.145850770000003</v>
      </c>
      <c r="H13">
        <f>5.859813105</f>
        <v>5.8598131049999997</v>
      </c>
      <c r="I13">
        <f>47.00566387</f>
        <v>47.005663869999999</v>
      </c>
      <c r="J13">
        <f>134.96566</f>
        <v>134.96566000000001</v>
      </c>
      <c r="K13">
        <f>5.9808035</f>
        <v>5.9808035000000004</v>
      </c>
      <c r="L13">
        <f>6234.6663</f>
        <v>6234.6662999999999</v>
      </c>
    </row>
    <row r="14" spans="1:12" x14ac:dyDescent="0.25">
      <c r="A14">
        <f>0.72</f>
        <v>0.72</v>
      </c>
      <c r="B14">
        <f>45.22215007</f>
        <v>45.222150069999998</v>
      </c>
      <c r="C14">
        <f>42.90432103</f>
        <v>42.904321029999998</v>
      </c>
      <c r="D14">
        <f>24.91788215</f>
        <v>24.917882150000001</v>
      </c>
      <c r="E14">
        <f>67.82220318</f>
        <v>67.822203180000002</v>
      </c>
      <c r="F14">
        <f>44.0587319</f>
        <v>44.058731899999998</v>
      </c>
      <c r="G14">
        <f>41.80053302</f>
        <v>41.800533020000003</v>
      </c>
      <c r="H14">
        <f>5.84668201</f>
        <v>5.8466820100000003</v>
      </c>
      <c r="I14">
        <f>47.64721503</f>
        <v>47.647215029999998</v>
      </c>
      <c r="J14">
        <f>131.58119</f>
        <v>131.58118999999999</v>
      </c>
      <c r="K14">
        <f>6.0944119</f>
        <v>6.0944118999999999</v>
      </c>
      <c r="L14">
        <f>5993.9012</f>
        <v>5993.9012000000002</v>
      </c>
    </row>
    <row r="15" spans="1:12" x14ac:dyDescent="0.25">
      <c r="A15">
        <f>0.73</f>
        <v>0.73</v>
      </c>
      <c r="B15">
        <f>45.85023549</f>
        <v>45.850235490000003</v>
      </c>
      <c r="C15">
        <f>43.57640379</f>
        <v>43.576403790000001</v>
      </c>
      <c r="D15">
        <f>24.76622826</f>
        <v>24.766228259999998</v>
      </c>
      <c r="E15">
        <f>68.34263205</f>
        <v>68.342632050000006</v>
      </c>
      <c r="F15">
        <f>44.67065873</f>
        <v>44.67065873</v>
      </c>
      <c r="G15">
        <f>42.45532529</f>
        <v>42.455325289999998</v>
      </c>
      <c r="H15">
        <f>5.833890372</f>
        <v>5.8338903719999999</v>
      </c>
      <c r="I15">
        <f>48.28921566</f>
        <v>48.289215660000004</v>
      </c>
      <c r="J15">
        <f>128.03358</f>
        <v>128.03358</v>
      </c>
      <c r="K15">
        <f>6.2127295</f>
        <v>6.2127295</v>
      </c>
      <c r="L15">
        <f>5752.403</f>
        <v>5752.4030000000002</v>
      </c>
    </row>
    <row r="16" spans="1:12" x14ac:dyDescent="0.25">
      <c r="A16">
        <f>0.74</f>
        <v>0.74</v>
      </c>
      <c r="B16">
        <f>46.47832091</f>
        <v>46.478320910000001</v>
      </c>
      <c r="C16">
        <f>44.24861551</f>
        <v>44.24861551</v>
      </c>
      <c r="D16">
        <f>24.61413198</f>
        <v>24.61413198</v>
      </c>
      <c r="E16">
        <f>68.86274749</f>
        <v>68.862747490000004</v>
      </c>
      <c r="F16">
        <f>45.28258556</f>
        <v>45.282585560000001</v>
      </c>
      <c r="G16">
        <f>43.1102432</f>
        <v>43.110243199999999</v>
      </c>
      <c r="H16">
        <f>5.821456986</f>
        <v>5.8214569860000003</v>
      </c>
      <c r="I16">
        <f>48.93170019</f>
        <v>48.931700190000001</v>
      </c>
      <c r="J16">
        <f>124.32001</f>
        <v>124.32001</v>
      </c>
      <c r="K16">
        <f>6.3360998</f>
        <v>6.3360998000000004</v>
      </c>
      <c r="L16">
        <f>5510.0762</f>
        <v>5510.0762000000004</v>
      </c>
    </row>
    <row r="17" spans="1:12" x14ac:dyDescent="0.25">
      <c r="A17">
        <f>0.75</f>
        <v>0.75</v>
      </c>
      <c r="B17">
        <f>47.10640633</f>
        <v>47.106406329999999</v>
      </c>
      <c r="C17">
        <f>44.92097556</f>
        <v>44.920975560000002</v>
      </c>
      <c r="D17">
        <f>24.46152672</f>
        <v>24.461526719999998</v>
      </c>
      <c r="E17">
        <f>69.38250228</f>
        <v>69.382502279999997</v>
      </c>
      <c r="F17">
        <f>45.89451239</f>
        <v>45.894512390000003</v>
      </c>
      <c r="G17">
        <f>43.76530562</f>
        <v>43.765305619999999</v>
      </c>
      <c r="H17">
        <f>5.809402192</f>
        <v>5.8094021920000003</v>
      </c>
      <c r="I17">
        <f>49.57470781</f>
        <v>49.57470781</v>
      </c>
      <c r="J17">
        <f>120.43713</f>
        <v>120.43713</v>
      </c>
      <c r="K17">
        <f>6.4649094</f>
        <v>6.4649093999999998</v>
      </c>
      <c r="L17">
        <f>5266.8069</f>
        <v>5266.8068999999996</v>
      </c>
    </row>
    <row r="18" spans="1:12" x14ac:dyDescent="0.25">
      <c r="A18">
        <f>0.76</f>
        <v>0.76</v>
      </c>
      <c r="B18">
        <f>47.73449174</f>
        <v>47.734491740000003</v>
      </c>
      <c r="C18">
        <f>45.59350751</f>
        <v>45.593507510000002</v>
      </c>
      <c r="D18">
        <f>24.30833132</f>
        <v>24.308331320000001</v>
      </c>
      <c r="E18">
        <f>69.90183883</f>
        <v>69.901838830000003</v>
      </c>
      <c r="F18">
        <f>46.50643922</f>
        <v>46.506439219999997</v>
      </c>
      <c r="G18">
        <f>44.42053552</f>
        <v>44.420535520000001</v>
      </c>
      <c r="H18">
        <f>5.797748127</f>
        <v>5.7977481270000002</v>
      </c>
      <c r="I18">
        <f>50.21828365</f>
        <v>50.218283649999996</v>
      </c>
      <c r="J18">
        <f>116.38087</f>
        <v>116.38087</v>
      </c>
      <c r="K18">
        <f>6.5995966</f>
        <v>6.5995965999999999</v>
      </c>
      <c r="L18">
        <f>5022.4575</f>
        <v>5022.4575000000004</v>
      </c>
    </row>
    <row r="19" spans="1:12" x14ac:dyDescent="0.25">
      <c r="A19">
        <f>0.77</f>
        <v>0.77</v>
      </c>
      <c r="B19">
        <f>48.36257716</f>
        <v>48.362577160000001</v>
      </c>
      <c r="C19">
        <f>46.2662405</f>
        <v>46.266240500000002</v>
      </c>
      <c r="D19">
        <f>24.15444559</f>
        <v>24.154445590000002</v>
      </c>
      <c r="E19">
        <f>70.42068609</f>
        <v>70.420686090000004</v>
      </c>
      <c r="F19">
        <f>47.11836606</f>
        <v>47.11836606</v>
      </c>
      <c r="G19">
        <f>45.07596129</f>
        <v>45.075961290000002</v>
      </c>
      <c r="H19">
        <f>5.786518973</f>
        <v>5.7865189729999997</v>
      </c>
      <c r="I19">
        <f>50.86248026</f>
        <v>50.862480259999998</v>
      </c>
      <c r="J19">
        <f>112.14631</f>
        <v>112.14631</v>
      </c>
      <c r="K19">
        <f>6.7406639</f>
        <v>6.7406639000000004</v>
      </c>
      <c r="L19">
        <f>4776.8604</f>
        <v>4776.8603999999996</v>
      </c>
    </row>
    <row r="20" spans="1:12" x14ac:dyDescent="0.25">
      <c r="A20">
        <f>0.78</f>
        <v>0.78</v>
      </c>
      <c r="B20">
        <f>48.99066258</f>
        <v>48.990662579999999</v>
      </c>
      <c r="C20">
        <f>46.93921094</f>
        <v>46.939210940000002</v>
      </c>
      <c r="D20">
        <f>23.99974419</f>
        <v>23.999744190000001</v>
      </c>
      <c r="E20">
        <f>70.93895513</f>
        <v>70.938955129999997</v>
      </c>
      <c r="F20">
        <f>47.73029289</f>
        <v>47.730292890000001</v>
      </c>
      <c r="G20">
        <f>45.7316184</f>
        <v>45.731618400000002</v>
      </c>
      <c r="H20">
        <f>5.775741283</f>
        <v>5.7757412830000003</v>
      </c>
      <c r="I20">
        <f>51.50735968</f>
        <v>51.50735968</v>
      </c>
      <c r="J20">
        <f>107.7274</f>
        <v>107.7274</v>
      </c>
      <c r="K20">
        <f>6.8886939</f>
        <v>6.8886938999999998</v>
      </c>
      <c r="L20">
        <f>4529.8086</f>
        <v>4529.8086000000003</v>
      </c>
    </row>
    <row r="21" spans="1:12" x14ac:dyDescent="0.25">
      <c r="A21">
        <f>0.79</f>
        <v>0.79</v>
      </c>
      <c r="B21">
        <f>49.618748</f>
        <v>49.618747999999997</v>
      </c>
      <c r="C21">
        <f>47.61246515</f>
        <v>47.612465149999998</v>
      </c>
      <c r="D21">
        <f>23.84406777</f>
        <v>23.844067769999999</v>
      </c>
      <c r="E21">
        <f>71.45653292</f>
        <v>71.456532920000001</v>
      </c>
      <c r="F21">
        <f>48.34221972</f>
        <v>48.342219720000003</v>
      </c>
      <c r="G21">
        <f>46.38755198</f>
        <v>46.387551979999998</v>
      </c>
      <c r="H21">
        <f>5.765444404</f>
        <v>5.7654444040000001</v>
      </c>
      <c r="I21">
        <f>52.15299638</f>
        <v>52.152996379999998</v>
      </c>
      <c r="J21">
        <f>103.11654</f>
        <v>103.11654</v>
      </c>
      <c r="K21">
        <f>7.0443716</f>
        <v>7.0443715999999998</v>
      </c>
      <c r="L21">
        <f>4281.0422</f>
        <v>4281.0421999999999</v>
      </c>
    </row>
    <row r="22" spans="1:12" x14ac:dyDescent="0.25">
      <c r="A22">
        <f>0.8</f>
        <v>0.8</v>
      </c>
      <c r="B22">
        <f>50.24683341</f>
        <v>50.246833410000001</v>
      </c>
      <c r="C22">
        <f>48.28606306</f>
        <v>48.286063059999996</v>
      </c>
      <c r="D22">
        <f>23.68721</f>
        <v>23.68721</v>
      </c>
      <c r="E22">
        <f>71.97327306</f>
        <v>71.973273059999997</v>
      </c>
      <c r="F22">
        <f>48.95414655</f>
        <v>48.954146549999997</v>
      </c>
      <c r="G22">
        <f>47.04382041</f>
        <v>47.043820410000002</v>
      </c>
      <c r="H22">
        <f>5.755661033</f>
        <v>5.755661033</v>
      </c>
      <c r="I22">
        <f>52.79948145</f>
        <v>52.799481450000002</v>
      </c>
      <c r="J22">
        <f>98.304066</f>
        <v>98.304066000000006</v>
      </c>
      <c r="K22">
        <f>7.2085165</f>
        <v>7.2085165</v>
      </c>
      <c r="L22">
        <f>4030.2294</f>
        <v>4030.2294000000002</v>
      </c>
    </row>
    <row r="23" spans="1:12" x14ac:dyDescent="0.25">
      <c r="A23">
        <f>0.81</f>
        <v>0.81</v>
      </c>
      <c r="B23">
        <f>50.87491883</f>
        <v>50.874918829999999</v>
      </c>
      <c r="C23">
        <f>48.96008398</f>
        <v>48.96008398</v>
      </c>
      <c r="D23">
        <f>23.52889785</f>
        <v>23.52889785</v>
      </c>
      <c r="E23">
        <f>72.48898183</f>
        <v>72.48898183</v>
      </c>
      <c r="F23">
        <f>49.56607338</f>
        <v>49.566073379999999</v>
      </c>
      <c r="G23">
        <f>47.70050098</f>
        <v>47.700500980000001</v>
      </c>
      <c r="H23">
        <f>5.746427988</f>
        <v>5.7464279879999998</v>
      </c>
      <c r="I23">
        <f>53.44692897</f>
        <v>53.446928970000002</v>
      </c>
      <c r="J23">
        <f>93.277431</f>
        <v>93.277431000000007</v>
      </c>
      <c r="K23">
        <f>7.3821305</f>
        <v>7.3821304999999997</v>
      </c>
      <c r="L23">
        <f>3776.9378</f>
        <v>3776.9378000000002</v>
      </c>
    </row>
    <row r="24" spans="1:12" x14ac:dyDescent="0.25">
      <c r="A24">
        <f>0.82</f>
        <v>0.82</v>
      </c>
      <c r="B24">
        <f>51.50300425</f>
        <v>51.503004249999996</v>
      </c>
      <c r="C24">
        <f>49.63463302</f>
        <v>49.634633020000003</v>
      </c>
      <c r="D24">
        <f>23.3687695</f>
        <v>23.368769499999999</v>
      </c>
      <c r="E24">
        <f>73.00340251</f>
        <v>73.003402510000001</v>
      </c>
      <c r="F24">
        <f>50.17800022</f>
        <v>50.178000220000001</v>
      </c>
      <c r="G24">
        <f>48.35769607</f>
        <v>48.357696070000003</v>
      </c>
      <c r="H24">
        <f>5.737787791</f>
        <v>5.7377877909999997</v>
      </c>
      <c r="I24">
        <f>54.09548386</f>
        <v>54.095483860000002</v>
      </c>
      <c r="J24">
        <f>88.023984</f>
        <v>88.023983999999999</v>
      </c>
      <c r="K24">
        <f>7.5664605</f>
        <v>7.5664604999999998</v>
      </c>
      <c r="L24">
        <f>3520.7521</f>
        <v>3520.7521000000002</v>
      </c>
    </row>
    <row r="25" spans="1:12" x14ac:dyDescent="0.25">
      <c r="A25">
        <f>0.83</f>
        <v>0.83</v>
      </c>
      <c r="B25">
        <f>52.13108967</f>
        <v>52.131089670000001</v>
      </c>
      <c r="C25">
        <f>50.30986654</f>
        <v>50.309866540000002</v>
      </c>
      <c r="D25">
        <f>23.20628644</f>
        <v>23.20628644</v>
      </c>
      <c r="E25">
        <f>73.51615298</f>
        <v>73.516152980000001</v>
      </c>
      <c r="F25">
        <f>50.78992705</f>
        <v>50.789927050000003</v>
      </c>
      <c r="G25">
        <f>49.01555805</f>
        <v>49.015558050000003</v>
      </c>
      <c r="H25">
        <f>5.729788438</f>
        <v>5.7297884379999999</v>
      </c>
      <c r="I25">
        <f>54.74534648</f>
        <v>54.745346480000002</v>
      </c>
      <c r="J25">
        <f>82.512136</f>
        <v>82.512135999999998</v>
      </c>
      <c r="K25">
        <f>7.7631605</f>
        <v>7.7631604999999997</v>
      </c>
      <c r="L25">
        <f>3260.5286</f>
        <v>3260.5286000000001</v>
      </c>
    </row>
    <row r="26" spans="1:12" x14ac:dyDescent="0.25">
      <c r="A26">
        <f>0.84</f>
        <v>0.84</v>
      </c>
      <c r="B26">
        <f>52.75917508</f>
        <v>52.759175079999999</v>
      </c>
      <c r="C26">
        <f>50.98600284</f>
        <v>50.986002839999998</v>
      </c>
      <c r="D26">
        <f>23.04069703</f>
        <v>23.04069703</v>
      </c>
      <c r="E26">
        <f>74.02669987</f>
        <v>74.026699870000002</v>
      </c>
      <c r="F26">
        <f>51.40185388</f>
        <v>51.401853879999997</v>
      </c>
      <c r="G26">
        <f>49.67429957</f>
        <v>49.674299570000002</v>
      </c>
      <c r="H26">
        <f>5.722489089</f>
        <v>5.7224890889999998</v>
      </c>
      <c r="I26">
        <f>55.39678865</f>
        <v>55.396788649999998</v>
      </c>
      <c r="J26">
        <f>76.713629</f>
        <v>76.713628999999997</v>
      </c>
      <c r="K26">
        <f>7.9744357</f>
        <v>7.9744356999999999</v>
      </c>
      <c r="L26">
        <f>2995.3082</f>
        <v>2995.3081999999999</v>
      </c>
    </row>
    <row r="27" spans="1:12" x14ac:dyDescent="0.25">
      <c r="A27">
        <f>0.85</f>
        <v>0.85</v>
      </c>
      <c r="B27">
        <f>53.3872605</f>
        <v>53.387260499999996</v>
      </c>
      <c r="C27">
        <f>51.66338228</f>
        <v>51.66338228</v>
      </c>
      <c r="D27">
        <f>22.87082903</f>
        <v>22.870829029999999</v>
      </c>
      <c r="E27">
        <f>74.53421131</f>
        <v>74.534211310000003</v>
      </c>
      <c r="F27">
        <f>52.01378071</f>
        <v>52.013780709999999</v>
      </c>
      <c r="G27">
        <f>50.33425224</f>
        <v>50.334252239999998</v>
      </c>
      <c r="H27">
        <f>5.715962973</f>
        <v>5.7159629729999999</v>
      </c>
      <c r="I27">
        <f>56.05021522</f>
        <v>56.050215219999998</v>
      </c>
      <c r="J27">
        <f>70.5792</f>
        <v>70.5792</v>
      </c>
      <c r="K27">
        <f>8.2034699</f>
        <v>8.2034699</v>
      </c>
      <c r="L27">
        <f>2723.3664</f>
        <v>2723.3663999999999</v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F4" sqref="F4"/>
    </sheetView>
  </sheetViews>
  <sheetFormatPr defaultRowHeight="15" x14ac:dyDescent="0.25"/>
  <sheetData>
    <row r="1" spans="1:12" x14ac:dyDescent="0.2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  <c r="K1" s="12" t="s">
        <v>10</v>
      </c>
      <c r="L1" s="12" t="s">
        <v>11</v>
      </c>
    </row>
    <row r="2" spans="1:12" x14ac:dyDescent="0.25">
      <c r="A2">
        <f>0.6</f>
        <v>0.6</v>
      </c>
      <c r="B2">
        <f>38.14469976</f>
        <v>38.144699760000002</v>
      </c>
      <c r="C2">
        <f>35.26971825</f>
        <v>35.269718249999997</v>
      </c>
      <c r="D2">
        <f>25.81268532</f>
        <v>25.81268532</v>
      </c>
      <c r="E2">
        <f>61.08240358</f>
        <v>61.082403579999998</v>
      </c>
      <c r="F2">
        <f>37.16336125</f>
        <v>37.163361250000001</v>
      </c>
      <c r="G2">
        <f>34.36234363</f>
        <v>34.362343629999998</v>
      </c>
      <c r="H2">
        <f>5.735527922</f>
        <v>5.7355279220000002</v>
      </c>
      <c r="I2">
        <f>40.09787156</f>
        <v>40.097871560000002</v>
      </c>
      <c r="J2">
        <f>161.38893</f>
        <v>161.38892999999999</v>
      </c>
      <c r="K2">
        <f>4.9701155</f>
        <v>4.9701155000000004</v>
      </c>
      <c r="L2">
        <f>8822.0756</f>
        <v>8822.0756000000001</v>
      </c>
    </row>
    <row r="3" spans="1:12" x14ac:dyDescent="0.25">
      <c r="A3">
        <f>0.61</f>
        <v>0.61</v>
      </c>
      <c r="B3">
        <f>38.78044475</f>
        <v>38.780444750000001</v>
      </c>
      <c r="C3">
        <f>35.94920639</f>
        <v>35.949206390000001</v>
      </c>
      <c r="D3">
        <f>25.661889</f>
        <v>25.661888999999999</v>
      </c>
      <c r="E3">
        <f>61.61109539</f>
        <v>61.611095390000003</v>
      </c>
      <c r="F3">
        <f>37.78275061</f>
        <v>37.782750610000001</v>
      </c>
      <c r="G3">
        <f>35.02435076</f>
        <v>35.024350759999997</v>
      </c>
      <c r="H3">
        <f>5.718404966</f>
        <v>5.7184049659999996</v>
      </c>
      <c r="I3">
        <f>40.74275572</f>
        <v>40.742755719999998</v>
      </c>
      <c r="J3">
        <f>159.68328</f>
        <v>159.68328</v>
      </c>
      <c r="K3">
        <f>5.0471107</f>
        <v>5.0471107000000002</v>
      </c>
      <c r="L3">
        <f>8585.7427</f>
        <v>8585.7427000000007</v>
      </c>
    </row>
    <row r="4" spans="1:12" x14ac:dyDescent="0.25">
      <c r="A4">
        <f>0.62</f>
        <v>0.62</v>
      </c>
      <c r="B4">
        <f>39.41618975</f>
        <v>39.416189750000001</v>
      </c>
      <c r="C4">
        <f>36.62873125</f>
        <v>36.628731250000001</v>
      </c>
      <c r="D4">
        <f>25.51096715</f>
        <v>25.510967149999999</v>
      </c>
      <c r="E4">
        <f>62.13969839</f>
        <v>62.13969839</v>
      </c>
      <c r="F4">
        <f>38.40213996</f>
        <v>38.40213996</v>
      </c>
      <c r="G4">
        <f>35.68639366</f>
        <v>35.68639366</v>
      </c>
      <c r="H4">
        <f>5.701456596</f>
        <v>5.7014565959999999</v>
      </c>
      <c r="I4">
        <f>41.38785026</f>
        <v>41.38785026</v>
      </c>
      <c r="J4">
        <f>157.82854</f>
        <v>157.82854</v>
      </c>
      <c r="K4">
        <f>5.1265967</f>
        <v>5.1265967000000003</v>
      </c>
      <c r="L4">
        <f>8349.1472</f>
        <v>8349.1471999999994</v>
      </c>
    </row>
    <row r="5" spans="1:12" x14ac:dyDescent="0.25">
      <c r="A5">
        <f>0.63</f>
        <v>0.63</v>
      </c>
      <c r="B5">
        <f>40.05193474</f>
        <v>40.05193474</v>
      </c>
      <c r="C5">
        <f>37.30829618</f>
        <v>37.308296179999999</v>
      </c>
      <c r="D5">
        <f>25.35990827</f>
        <v>25.359908269999998</v>
      </c>
      <c r="E5">
        <f>62.66820445</f>
        <v>62.668204449999998</v>
      </c>
      <c r="F5">
        <f>39.02152932</f>
        <v>39.021529319999999</v>
      </c>
      <c r="G5">
        <f>36.34847561</f>
        <v>36.348475610000001</v>
      </c>
      <c r="H5">
        <f>5.684690473</f>
        <v>5.6846904729999999</v>
      </c>
      <c r="I5">
        <f>42.03316608</f>
        <v>42.033166080000001</v>
      </c>
      <c r="J5">
        <f>155.82406</f>
        <v>155.82406</v>
      </c>
      <c r="K5">
        <f>5.2087027</f>
        <v>5.2087026999999999</v>
      </c>
      <c r="L5">
        <f>8112.2668</f>
        <v>8112.2668000000003</v>
      </c>
    </row>
    <row r="6" spans="1:12" x14ac:dyDescent="0.25">
      <c r="A6">
        <f>0.64</f>
        <v>0.64</v>
      </c>
      <c r="B6">
        <f>40.68767974</f>
        <v>40.68767974</v>
      </c>
      <c r="C6">
        <f>37.98790497</f>
        <v>37.987904970000002</v>
      </c>
      <c r="D6">
        <f>25.20869942</f>
        <v>25.208699419999999</v>
      </c>
      <c r="E6">
        <f>63.19660439</f>
        <v>63.196604389999997</v>
      </c>
      <c r="F6">
        <f>39.64091867</f>
        <v>39.640918669999998</v>
      </c>
      <c r="G6">
        <f>37.01060029</f>
        <v>37.010600289999999</v>
      </c>
      <c r="H6">
        <f>5.668114718</f>
        <v>5.668114718</v>
      </c>
      <c r="I6">
        <f>42.678715</f>
        <v>42.678714999999997</v>
      </c>
      <c r="J6">
        <f>153.66908</f>
        <v>153.66908000000001</v>
      </c>
      <c r="K6">
        <f>5.2935677</f>
        <v>5.2935676999999997</v>
      </c>
      <c r="L6">
        <f>7875.0768</f>
        <v>7875.0767999999998</v>
      </c>
    </row>
    <row r="7" spans="1:12" x14ac:dyDescent="0.25">
      <c r="A7">
        <f>0.65</f>
        <v>0.65</v>
      </c>
      <c r="B7">
        <f>41.32342474</f>
        <v>41.32342474</v>
      </c>
      <c r="C7">
        <f>38.66756188</f>
        <v>38.667561880000001</v>
      </c>
      <c r="D7">
        <f>25.05732592</f>
        <v>25.05732592</v>
      </c>
      <c r="E7">
        <f>63.7248878</f>
        <v>63.724887799999998</v>
      </c>
      <c r="F7">
        <f>40.26030803</f>
        <v>40.260308029999997</v>
      </c>
      <c r="G7">
        <f>37.67277185</f>
        <v>37.672771849999997</v>
      </c>
      <c r="H7">
        <f>5.651737951</f>
        <v>5.6517379510000003</v>
      </c>
      <c r="I7">
        <f>43.3245098</f>
        <v>43.324509800000001</v>
      </c>
      <c r="J7">
        <f>151.36278</f>
        <v>151.36277999999999</v>
      </c>
      <c r="K7">
        <f>5.3813417</f>
        <v>5.3813417000000001</v>
      </c>
      <c r="L7">
        <f>7637.5492</f>
        <v>7637.5492000000004</v>
      </c>
    </row>
    <row r="8" spans="1:12" x14ac:dyDescent="0.25">
      <c r="A8">
        <f>0.66</f>
        <v>0.66</v>
      </c>
      <c r="B8">
        <f>41.95916973</f>
        <v>41.959169729999999</v>
      </c>
      <c r="C8">
        <f>39.34727179</f>
        <v>39.347271790000001</v>
      </c>
      <c r="D8">
        <f>24.90577108</f>
        <v>24.905771080000001</v>
      </c>
      <c r="E8">
        <f>64.25304286</f>
        <v>64.253042859999994</v>
      </c>
      <c r="F8">
        <f>40.87969738</f>
        <v>40.879697380000003</v>
      </c>
      <c r="G8">
        <f>38.33499504</f>
        <v>38.334995040000003</v>
      </c>
      <c r="H8">
        <f>5.635569324</f>
        <v>5.6355693240000004</v>
      </c>
      <c r="I8">
        <f>43.97056436</f>
        <v>43.970564359999997</v>
      </c>
      <c r="J8">
        <f>148.90421</f>
        <v>148.90421000000001</v>
      </c>
      <c r="K8">
        <f>5.4721869</f>
        <v>5.4721868999999996</v>
      </c>
      <c r="L8">
        <f>7399.6525</f>
        <v>7399.6525000000001</v>
      </c>
    </row>
    <row r="9" spans="1:12" x14ac:dyDescent="0.25">
      <c r="A9">
        <f>0.67</f>
        <v>0.67</v>
      </c>
      <c r="B9">
        <f>42.59491473</f>
        <v>42.594914729999999</v>
      </c>
      <c r="C9">
        <f>40.02704023</f>
        <v>40.027040229999997</v>
      </c>
      <c r="D9">
        <f>24.75401581</f>
        <v>24.754015809999999</v>
      </c>
      <c r="E9">
        <f>64.78105605</f>
        <v>64.781056050000004</v>
      </c>
      <c r="F9">
        <f>41.49908673</f>
        <v>41.499086730000002</v>
      </c>
      <c r="G9">
        <f>38.99727526</f>
        <v>38.997275260000002</v>
      </c>
      <c r="H9">
        <f>5.619618571</f>
        <v>5.6196185710000002</v>
      </c>
      <c r="I9">
        <f>44.61689383</f>
        <v>44.616893830000002</v>
      </c>
      <c r="J9">
        <f>146.29231</f>
        <v>146.29230999999999</v>
      </c>
      <c r="K9">
        <f>5.5662793</f>
        <v>5.5662792999999997</v>
      </c>
      <c r="L9">
        <f>7161.351</f>
        <v>7161.3509999999997</v>
      </c>
    </row>
    <row r="10" spans="1:12" x14ac:dyDescent="0.25">
      <c r="A10">
        <f>0.68</f>
        <v>0.68</v>
      </c>
      <c r="B10">
        <f>43.23065972</f>
        <v>43.230659719999998</v>
      </c>
      <c r="C10">
        <f>40.7068736</f>
        <v>40.706873600000002</v>
      </c>
      <c r="D10">
        <f>24.60203822</f>
        <v>24.602038220000001</v>
      </c>
      <c r="E10">
        <f>65.30891182</f>
        <v>65.308911820000006</v>
      </c>
      <c r="F10">
        <f>42.11847609</f>
        <v>42.118476090000001</v>
      </c>
      <c r="G10">
        <f>39.65961874</f>
        <v>39.659618739999999</v>
      </c>
      <c r="H10">
        <f>5.603896052</f>
        <v>5.6038960519999996</v>
      </c>
      <c r="I10">
        <f>45.26351479</f>
        <v>45.263514790000002</v>
      </c>
      <c r="J10">
        <f>143.52585</f>
        <v>143.52584999999999</v>
      </c>
      <c r="K10">
        <f>5.6638102</f>
        <v>5.6638102000000003</v>
      </c>
      <c r="L10">
        <f>6922.6038</f>
        <v>6922.6037999999999</v>
      </c>
    </row>
    <row r="11" spans="1:12" x14ac:dyDescent="0.25">
      <c r="A11">
        <f>0.69</f>
        <v>0.69</v>
      </c>
      <c r="B11">
        <f>43.86640472</f>
        <v>43.866404719999998</v>
      </c>
      <c r="C11">
        <f>41.38677926</f>
        <v>41.386779259999997</v>
      </c>
      <c r="D11">
        <f>24.44981298</f>
        <v>24.449812980000001</v>
      </c>
      <c r="E11">
        <f>65.83659225</f>
        <v>65.836592249999995</v>
      </c>
      <c r="F11">
        <f>42.73786544</f>
        <v>42.73786544</v>
      </c>
      <c r="G11">
        <f>40.32203265</f>
        <v>40.322032649999997</v>
      </c>
      <c r="H11">
        <f>5.588412806</f>
        <v>5.588412806</v>
      </c>
      <c r="I11">
        <f>45.91044545</f>
        <v>45.910445449999997</v>
      </c>
      <c r="J11">
        <f>140.60344</f>
        <v>140.60344000000001</v>
      </c>
      <c r="K11">
        <f>5.7649884</f>
        <v>5.7649884</v>
      </c>
      <c r="L11">
        <f>6683.3644</f>
        <v>6683.3644000000004</v>
      </c>
    </row>
    <row r="12" spans="1:12" x14ac:dyDescent="0.25">
      <c r="A12">
        <f>0.7</f>
        <v>0.7</v>
      </c>
      <c r="B12">
        <f>44.50214972</f>
        <v>44.502149719999998</v>
      </c>
      <c r="C12">
        <f>42.06676577</f>
        <v>42.066765770000003</v>
      </c>
      <c r="D12">
        <f>24.29731071</f>
        <v>24.297310710000001</v>
      </c>
      <c r="E12">
        <f>66.36407647</f>
        <v>66.364076470000001</v>
      </c>
      <c r="F12">
        <f>43.3572548</f>
        <v>43.3572548</v>
      </c>
      <c r="G12">
        <f>40.98452532</f>
        <v>40.984525320000003</v>
      </c>
      <c r="H12">
        <f>5.573180613</f>
        <v>5.5731806129999999</v>
      </c>
      <c r="I12">
        <f>46.55770593</f>
        <v>46.557705929999997</v>
      </c>
      <c r="J12">
        <f>137.5235</f>
        <v>137.52350000000001</v>
      </c>
      <c r="K12">
        <f>5.8700428</f>
        <v>5.8700428000000002</v>
      </c>
      <c r="L12">
        <f>6443.579</f>
        <v>6443.5789999999997</v>
      </c>
    </row>
    <row r="13" spans="1:12" x14ac:dyDescent="0.25">
      <c r="A13">
        <f>0.71</f>
        <v>0.71</v>
      </c>
      <c r="B13">
        <f>45.13789471</f>
        <v>45.137894709999998</v>
      </c>
      <c r="C13">
        <f>42.74684312</f>
        <v>42.746843120000001</v>
      </c>
      <c r="D13">
        <f>24.144497</f>
        <v>24.144497000000001</v>
      </c>
      <c r="E13">
        <f>66.89134012</f>
        <v>66.891340119999995</v>
      </c>
      <c r="F13">
        <f>43.97664415</f>
        <v>43.976644149999998</v>
      </c>
      <c r="G13">
        <f>41.64710651</f>
        <v>41.64710651</v>
      </c>
      <c r="H13">
        <f>5.558212053</f>
        <v>5.5582120530000001</v>
      </c>
      <c r="I13">
        <f>47.20531856</f>
        <v>47.205318560000002</v>
      </c>
      <c r="J13">
        <f>134.28417</f>
        <v>134.28416999999999</v>
      </c>
      <c r="K13">
        <f>5.9792249</f>
        <v>5.9792249000000002</v>
      </c>
      <c r="L13">
        <f>6203.1852</f>
        <v>6203.1851999999999</v>
      </c>
    </row>
    <row r="14" spans="1:12" x14ac:dyDescent="0.25">
      <c r="A14">
        <f>0.72</f>
        <v>0.72</v>
      </c>
      <c r="B14">
        <f>45.77363971</f>
        <v>45.773639709999998</v>
      </c>
      <c r="C14">
        <f>43.42702311</f>
        <v>43.42702311</v>
      </c>
      <c r="D14">
        <f>23.99133136</f>
        <v>23.99133136</v>
      </c>
      <c r="E14">
        <f>67.41835447</f>
        <v>67.418354469999997</v>
      </c>
      <c r="F14">
        <f>44.59603351</f>
        <v>44.596033509999998</v>
      </c>
      <c r="G14">
        <f>42.30978769</f>
        <v>42.30978769</v>
      </c>
      <c r="H14">
        <f>5.543520588</f>
        <v>5.5435205879999998</v>
      </c>
      <c r="I14">
        <f>47.85330827</f>
        <v>47.853308269999999</v>
      </c>
      <c r="J14">
        <f>130.8833</f>
        <v>130.88329999999999</v>
      </c>
      <c r="K14">
        <f>6.0928128</f>
        <v>6.0928127999999999</v>
      </c>
      <c r="L14">
        <f>5962.1103</f>
        <v>5962.1103000000003</v>
      </c>
    </row>
    <row r="15" spans="1:12" x14ac:dyDescent="0.25">
      <c r="A15">
        <f>0.73</f>
        <v>0.73</v>
      </c>
      <c r="B15">
        <f>46.4093847</f>
        <v>46.409384699999997</v>
      </c>
      <c r="C15">
        <f>44.10731971</f>
        <v>44.107319709999999</v>
      </c>
      <c r="D15">
        <f>23.83776569</f>
        <v>23.837765690000001</v>
      </c>
      <c r="E15">
        <f>67.9450854</f>
        <v>67.945085399999996</v>
      </c>
      <c r="F15">
        <f>45.21542286</f>
        <v>45.215422859999997</v>
      </c>
      <c r="G15">
        <f>42.97258248</f>
        <v>42.97258248</v>
      </c>
      <c r="H15">
        <f>5.529120626</f>
        <v>5.5291206260000001</v>
      </c>
      <c r="I15">
        <f>48.5017031</f>
        <v>48.5017031</v>
      </c>
      <c r="J15">
        <f>127.31836</f>
        <v>127.31836</v>
      </c>
      <c r="K15">
        <f>6.2111157</f>
        <v>6.2111156999999997</v>
      </c>
      <c r="L15">
        <f>5720.2689</f>
        <v>5720.2689</v>
      </c>
    </row>
    <row r="16" spans="1:12" x14ac:dyDescent="0.25">
      <c r="A16">
        <f>0.74</f>
        <v>0.74</v>
      </c>
      <c r="B16">
        <f>47.0451297</f>
        <v>47.045129699999997</v>
      </c>
      <c r="C16">
        <f>44.78774966</f>
        <v>44.787749660000003</v>
      </c>
      <c r="D16">
        <f>23.68374247</f>
        <v>23.683742469999999</v>
      </c>
      <c r="E16">
        <f>68.47149213</f>
        <v>68.471492130000001</v>
      </c>
      <c r="F16">
        <f>45.83481221</f>
        <v>45.834812210000003</v>
      </c>
      <c r="G16">
        <f>43.63550719</f>
        <v>43.635507189999998</v>
      </c>
      <c r="H16">
        <f>5.515027653</f>
        <v>5.5150276529999998</v>
      </c>
      <c r="I16">
        <f>49.15053484</f>
        <v>49.150534839999999</v>
      </c>
      <c r="J16">
        <f>123.58636</f>
        <v>123.58636</v>
      </c>
      <c r="K16">
        <f>6.334479</f>
        <v>6.334479</v>
      </c>
      <c r="L16">
        <f>5477.5596</f>
        <v>5477.5595999999996</v>
      </c>
    </row>
    <row r="17" spans="1:12" x14ac:dyDescent="0.25">
      <c r="A17">
        <f>0.75</f>
        <v>0.75</v>
      </c>
      <c r="B17">
        <f>47.6808747</f>
        <v>47.680874699999997</v>
      </c>
      <c r="C17">
        <f>45.4683332</f>
        <v>45.468333199999996</v>
      </c>
      <c r="D17">
        <f>23.52919207</f>
        <v>23.529192070000001</v>
      </c>
      <c r="E17">
        <f>68.99752527</f>
        <v>68.997525269999997</v>
      </c>
      <c r="F17">
        <f>46.45420157</f>
        <v>46.454201570000002</v>
      </c>
      <c r="G17">
        <f>44.29858154</f>
        <v>44.298581540000001</v>
      </c>
      <c r="H17">
        <f>5.501258288</f>
        <v>5.5012582879999998</v>
      </c>
      <c r="I17">
        <f>49.79983983</f>
        <v>49.799839830000003</v>
      </c>
      <c r="J17">
        <f>119.68375</f>
        <v>119.68375</v>
      </c>
      <c r="K17">
        <f>6.4632923</f>
        <v>6.4632923</v>
      </c>
      <c r="L17">
        <f>5233.861</f>
        <v>5233.8609999999999</v>
      </c>
    </row>
    <row r="18" spans="1:12" x14ac:dyDescent="0.25">
      <c r="A18">
        <f>0.76</f>
        <v>0.76</v>
      </c>
      <c r="B18">
        <f>48.31661969</f>
        <v>48.316619690000003</v>
      </c>
      <c r="C18">
        <f>46.14909507</f>
        <v>46.149095070000001</v>
      </c>
      <c r="D18">
        <f>23.37402939</f>
        <v>23.37402939</v>
      </c>
      <c r="E18">
        <f>69.52312446</f>
        <v>69.523124460000005</v>
      </c>
      <c r="F18">
        <f>47.07359092</f>
        <v>47.073590920000001</v>
      </c>
      <c r="G18">
        <f>44.96182963</f>
        <v>44.961829629999997</v>
      </c>
      <c r="H18">
        <f>5.487830426</f>
        <v>5.4878304260000004</v>
      </c>
      <c r="I18">
        <f>50.44966005</f>
        <v>50.449660049999999</v>
      </c>
      <c r="J18">
        <f>115.6062</f>
        <v>115.6062</v>
      </c>
      <c r="K18">
        <f>6.5979979</f>
        <v>6.5979979000000002</v>
      </c>
      <c r="L18">
        <f>4989.0264</f>
        <v>4989.0263999999997</v>
      </c>
    </row>
    <row r="19" spans="1:12" x14ac:dyDescent="0.25">
      <c r="A19">
        <f>0.77</f>
        <v>0.77</v>
      </c>
      <c r="B19">
        <f>48.95236469</f>
        <v>48.952364690000003</v>
      </c>
      <c r="C19">
        <f>46.83006588</f>
        <v>46.830065879999999</v>
      </c>
      <c r="D19">
        <f>23.21814909</f>
        <v>23.218149090000001</v>
      </c>
      <c r="E19">
        <f>70.04821497</f>
        <v>70.048214970000004</v>
      </c>
      <c r="F19">
        <f>47.69298028</f>
        <v>47.69298028</v>
      </c>
      <c r="G19">
        <f>45.62528128</f>
        <v>45.625281280000003</v>
      </c>
      <c r="H19">
        <f>5.474763376</f>
        <v>5.4747633760000003</v>
      </c>
      <c r="I19">
        <f>51.10004466</f>
        <v>51.100044660000002</v>
      </c>
      <c r="J19">
        <f>111.34847</f>
        <v>111.34847000000001</v>
      </c>
      <c r="K19">
        <f>6.7391038</f>
        <v>6.7391037999999996</v>
      </c>
      <c r="L19">
        <f>4742.8762</f>
        <v>4742.8761999999997</v>
      </c>
    </row>
    <row r="20" spans="1:12" x14ac:dyDescent="0.25">
      <c r="A20">
        <f>0.78</f>
        <v>0.78</v>
      </c>
      <c r="B20">
        <f>49.58810968</f>
        <v>49.588109680000002</v>
      </c>
      <c r="C20">
        <f>47.51128405</f>
        <v>47.51128405</v>
      </c>
      <c r="D20">
        <f>23.06141895</f>
        <v>23.06141895</v>
      </c>
      <c r="E20">
        <f>70.57270299</f>
        <v>70.572702989999996</v>
      </c>
      <c r="F20">
        <f>48.31236963</f>
        <v>48.312369629999999</v>
      </c>
      <c r="G20">
        <f>46.28897393</f>
        <v>46.288973929999997</v>
      </c>
      <c r="H20">
        <f>5.462078007</f>
        <v>5.4620780069999997</v>
      </c>
      <c r="I20">
        <f>51.75105194</f>
        <v>51.751051940000004</v>
      </c>
      <c r="J20">
        <f>106.90405</f>
        <v>106.90405</v>
      </c>
      <c r="K20">
        <f>6.8872002</f>
        <v>6.8872001999999997</v>
      </c>
      <c r="L20">
        <f>4495.1877</f>
        <v>4495.1877000000004</v>
      </c>
    </row>
    <row r="21" spans="1:12" x14ac:dyDescent="0.25">
      <c r="A21">
        <f>0.79</f>
        <v>0.79</v>
      </c>
      <c r="B21">
        <f>50.22385468</f>
        <v>50.223854680000002</v>
      </c>
      <c r="C21">
        <f>48.19279861</f>
        <v>48.192798609999997</v>
      </c>
      <c r="D21">
        <f>22.90367018</f>
        <v>22.903670179999999</v>
      </c>
      <c r="E21">
        <f>71.0964688</f>
        <v>71.096468799999997</v>
      </c>
      <c r="F21">
        <f>48.93175899</f>
        <v>48.931758989999999</v>
      </c>
      <c r="G21">
        <f>46.95295536</f>
        <v>46.952955359999997</v>
      </c>
      <c r="H21">
        <f>5.449796934</f>
        <v>5.4497969340000001</v>
      </c>
      <c r="I21">
        <f>52.40275229</f>
        <v>52.402752290000002</v>
      </c>
      <c r="J21">
        <f>102.26477</f>
        <v>102.26477</v>
      </c>
      <c r="K21">
        <f>7.0429834</f>
        <v>7.0429833999999998</v>
      </c>
      <c r="L21">
        <f>4245.6799</f>
        <v>4245.6799000000001</v>
      </c>
    </row>
    <row r="22" spans="1:12" x14ac:dyDescent="0.25">
      <c r="A22">
        <f>0.8</f>
        <v>0.8</v>
      </c>
      <c r="B22">
        <f>50.85959967</f>
        <v>50.859599670000001</v>
      </c>
      <c r="C22">
        <f>48.87467336</f>
        <v>48.874673360000003</v>
      </c>
      <c r="D22">
        <f>22.74468324</f>
        <v>22.744683240000001</v>
      </c>
      <c r="E22">
        <f>71.6193566</f>
        <v>71.619356600000003</v>
      </c>
      <c r="F22">
        <f>49.55114834</f>
        <v>49.551148339999997</v>
      </c>
      <c r="G22">
        <f>47.6172877</f>
        <v>47.617287699999999</v>
      </c>
      <c r="H22">
        <f>5.437944723</f>
        <v>5.4379447230000002</v>
      </c>
      <c r="I22">
        <f>53.05523242</f>
        <v>53.055232420000003</v>
      </c>
      <c r="J22">
        <f>97.420181</f>
        <v>97.420180999999999</v>
      </c>
      <c r="K22">
        <f>7.2072897</f>
        <v>7.2072896999999996</v>
      </c>
      <c r="L22">
        <f>3993.9923</f>
        <v>3993.9922999999999</v>
      </c>
    </row>
    <row r="23" spans="1:12" x14ac:dyDescent="0.25">
      <c r="A23">
        <f>0.81</f>
        <v>0.81</v>
      </c>
      <c r="B23">
        <f>51.49534467</f>
        <v>51.495344670000001</v>
      </c>
      <c r="C23">
        <f>49.55699318</f>
        <v>49.556993179999999</v>
      </c>
      <c r="D23">
        <f>22.58416587</f>
        <v>22.58416587</v>
      </c>
      <c r="E23">
        <f>72.14115904</f>
        <v>72.141159040000005</v>
      </c>
      <c r="F23">
        <f>50.17053769</f>
        <v>50.170537690000003</v>
      </c>
      <c r="G23">
        <f>48.28205365</f>
        <v>48.282053650000002</v>
      </c>
      <c r="H23">
        <f>5.426548146</f>
        <v>5.426548146</v>
      </c>
      <c r="I23">
        <f>53.7086018</f>
        <v>53.708601799999997</v>
      </c>
      <c r="J23">
        <f>92.356585</f>
        <v>92.356584999999995</v>
      </c>
      <c r="K23">
        <f>7.3811464</f>
        <v>7.3811464000000004</v>
      </c>
      <c r="L23">
        <f>3739.6514</f>
        <v>3739.6514000000002</v>
      </c>
    </row>
    <row r="24" spans="1:12" x14ac:dyDescent="0.25">
      <c r="A24">
        <f>0.82</f>
        <v>0.82</v>
      </c>
      <c r="B24">
        <f>52.13108967</f>
        <v>52.131089670000001</v>
      </c>
      <c r="C24">
        <f>50.23987153</f>
        <v>50.239871530000002</v>
      </c>
      <c r="D24">
        <f>22.42172736</f>
        <v>22.421727359999998</v>
      </c>
      <c r="E24">
        <f>72.6615989</f>
        <v>72.661598900000001</v>
      </c>
      <c r="F24">
        <f>50.78992705</f>
        <v>50.789927050000003</v>
      </c>
      <c r="G24">
        <f>48.94736378</f>
        <v>48.947363780000003</v>
      </c>
      <c r="H24">
        <f>5.415637067</f>
        <v>5.4156370669999996</v>
      </c>
      <c r="I24">
        <f>54.36300084</f>
        <v>54.363000839999998</v>
      </c>
      <c r="J24">
        <f>87.059592</f>
        <v>87.059591999999995</v>
      </c>
      <c r="K24">
        <f>7.5658408</f>
        <v>7.5658408000000001</v>
      </c>
      <c r="L24">
        <f>3482.1787</f>
        <v>3482.1786999999999</v>
      </c>
    </row>
    <row r="25" spans="1:12" x14ac:dyDescent="0.25">
      <c r="A25">
        <f>0.83</f>
        <v>0.83</v>
      </c>
      <c r="B25">
        <f>52.76683466</f>
        <v>52.766834660000001</v>
      </c>
      <c r="C25">
        <f>50.9234782</f>
        <v>50.923478199999998</v>
      </c>
      <c r="D25">
        <f>22.2567831</f>
        <v>22.2567831</v>
      </c>
      <c r="E25">
        <f>73.18026129</f>
        <v>73.180261290000004</v>
      </c>
      <c r="F25">
        <f>51.4093164</f>
        <v>51.409316400000002</v>
      </c>
      <c r="G25">
        <f>49.61338347</f>
        <v>49.613383470000002</v>
      </c>
      <c r="H25">
        <f>5.405242354</f>
        <v>5.4052423540000003</v>
      </c>
      <c r="I25">
        <f>55.01862583</f>
        <v>55.018625829999998</v>
      </c>
      <c r="J25">
        <f>81.495241</f>
        <v>81.495240999999993</v>
      </c>
      <c r="K25">
        <f>7.7630941</f>
        <v>7.7630941</v>
      </c>
      <c r="L25">
        <f>3220.3452</f>
        <v>3220.3452000000002</v>
      </c>
    </row>
    <row r="26" spans="1:12" x14ac:dyDescent="0.25">
      <c r="A26">
        <f>0.84</f>
        <v>0.84</v>
      </c>
      <c r="B26">
        <f>53.40257966</f>
        <v>53.402579660000001</v>
      </c>
      <c r="C26">
        <f>51.60805383</f>
        <v>51.608053830000003</v>
      </c>
      <c r="D26">
        <f>22.08850429</f>
        <v>22.088504289999999</v>
      </c>
      <c r="E26">
        <f>73.69655811</f>
        <v>73.696558109999998</v>
      </c>
      <c r="F26">
        <f>52.02870576</f>
        <v>52.028705760000001</v>
      </c>
      <c r="G26">
        <f>50.28034721</f>
        <v>50.280347210000002</v>
      </c>
      <c r="H26">
        <f>5.395399977</f>
        <v>5.3953999770000003</v>
      </c>
      <c r="I26">
        <f>55.67574719</f>
        <v>55.675747190000003</v>
      </c>
      <c r="J26">
        <f>75.631069</f>
        <v>75.631068999999997</v>
      </c>
      <c r="K26">
        <f>7.9752303</f>
        <v>7.9752302999999998</v>
      </c>
      <c r="L26">
        <f>2953.0393</f>
        <v>2953.0392999999999</v>
      </c>
    </row>
    <row r="27" spans="1:12" x14ac:dyDescent="0.25">
      <c r="A27">
        <f>0.85</f>
        <v>0.85</v>
      </c>
      <c r="B27">
        <f>54.03832465</f>
        <v>54.03832465</v>
      </c>
      <c r="C27">
        <f>52.29397969</f>
        <v>52.29397969</v>
      </c>
      <c r="D27">
        <f>21.91557778</f>
        <v>21.91557778</v>
      </c>
      <c r="E27">
        <f>74.20955747</f>
        <v>74.209557469999993</v>
      </c>
      <c r="F27">
        <f>52.64809511</f>
        <v>52.64809511</v>
      </c>
      <c r="G27">
        <f>50.94862644</f>
        <v>50.948626439999998</v>
      </c>
      <c r="H27">
        <f>5.386148951</f>
        <v>5.386148951</v>
      </c>
      <c r="I27">
        <f>56.33477539</f>
        <v>56.334775389999997</v>
      </c>
      <c r="J27">
        <f>69.41062</f>
        <v>69.410619999999994</v>
      </c>
      <c r="K27">
        <f>8.2056605</f>
        <v>8.2056605000000005</v>
      </c>
      <c r="L27">
        <f>2678.2757</f>
        <v>2678.2757000000001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workbookViewId="0">
      <selection activeCell="Q2" sqref="Q2:Q27"/>
    </sheetView>
  </sheetViews>
  <sheetFormatPr defaultRowHeight="15" x14ac:dyDescent="0.25"/>
  <sheetData>
    <row r="1" spans="1:17" x14ac:dyDescent="0.25">
      <c r="B1">
        <v>0.7</v>
      </c>
      <c r="C1">
        <v>0.71</v>
      </c>
      <c r="D1">
        <v>0.72</v>
      </c>
      <c r="E1">
        <v>0.73</v>
      </c>
      <c r="F1">
        <v>0.74</v>
      </c>
      <c r="G1">
        <v>0.75</v>
      </c>
      <c r="H1">
        <v>0.76</v>
      </c>
      <c r="I1">
        <v>0.77</v>
      </c>
      <c r="J1">
        <v>0.78</v>
      </c>
      <c r="K1">
        <v>0.79</v>
      </c>
      <c r="L1">
        <v>0.8</v>
      </c>
      <c r="M1">
        <v>0.81</v>
      </c>
      <c r="N1">
        <v>0.82</v>
      </c>
      <c r="O1">
        <v>0.83</v>
      </c>
      <c r="P1">
        <v>0.84</v>
      </c>
      <c r="Q1">
        <v>0.85</v>
      </c>
    </row>
    <row r="2" spans="1:17" x14ac:dyDescent="0.25">
      <c r="A2">
        <f>'FU 0.7'!A2</f>
        <v>0.6</v>
      </c>
      <c r="B2" s="15">
        <f>'FU 0.7'!$C2</f>
        <v>29.75380067</v>
      </c>
      <c r="C2" s="15">
        <f>(B2+D2)/2</f>
        <v>30.178088985000002</v>
      </c>
      <c r="D2" s="15">
        <f>'FU 0.72'!$C2</f>
        <v>30.602377300000001</v>
      </c>
      <c r="E2" s="15">
        <f>'FU 0.73'!$C2</f>
        <v>31.026668690000001</v>
      </c>
      <c r="F2" s="15">
        <f>'FU 0.74'!$C2</f>
        <v>31.450962229999998</v>
      </c>
      <c r="G2" s="15">
        <f>'FU 0.75'!$C2</f>
        <v>31.87525801</v>
      </c>
      <c r="H2" s="15">
        <f>'FU 0.76'!$C2</f>
        <v>32.299556109999997</v>
      </c>
      <c r="I2" s="15">
        <f>'FU 0.77'!$C2</f>
        <v>32.723856650000002</v>
      </c>
      <c r="J2" s="15">
        <f>'FU 0.78'!$C2</f>
        <v>33.148159730000003</v>
      </c>
      <c r="K2" s="15">
        <f>'FU 0.79'!$C2</f>
        <v>33.572465479999998</v>
      </c>
      <c r="L2" s="15">
        <f>'FU 0.8'!$C2</f>
        <v>33.996774039999998</v>
      </c>
      <c r="M2" s="15">
        <f>'FU 0.81'!$C2</f>
        <v>34.421085570000002</v>
      </c>
      <c r="N2" s="15">
        <f>'FU 0.82'!$C2</f>
        <v>34.845400239999996</v>
      </c>
      <c r="O2" s="15">
        <f>'FU 0.83'!$C2</f>
        <v>35.269718249999997</v>
      </c>
      <c r="P2" s="15">
        <f>'FU 0.84'!$C2</f>
        <v>35.694039840000002</v>
      </c>
      <c r="Q2" s="15">
        <f>P2+P2-O2</f>
        <v>36.118361430000007</v>
      </c>
    </row>
    <row r="3" spans="1:17" x14ac:dyDescent="0.25">
      <c r="A3">
        <f>'FU 0.7'!A3</f>
        <v>0.61</v>
      </c>
      <c r="B3" s="15">
        <f>'FU 0.7'!$C3</f>
        <v>30.326818589999998</v>
      </c>
      <c r="C3" s="15">
        <f t="shared" ref="C3:C27" si="0">(B3+D3)/2</f>
        <v>30.759296039999999</v>
      </c>
      <c r="D3" s="15">
        <f>'FU 0.72'!$C3</f>
        <v>31.191773489999999</v>
      </c>
      <c r="E3" s="15">
        <f>'FU 0.73'!$C3</f>
        <v>31.624254220000001</v>
      </c>
      <c r="F3" s="15">
        <f>'FU 0.74'!$C3</f>
        <v>32.056737239999997</v>
      </c>
      <c r="G3" s="15">
        <f>'FU 0.75'!$C3</f>
        <v>32.489222650000002</v>
      </c>
      <c r="H3" s="15">
        <f>'FU 0.76'!$C3</f>
        <v>32.921710539999999</v>
      </c>
      <c r="I3" s="15">
        <f>'FU 0.77'!$C3</f>
        <v>33.354201029999999</v>
      </c>
      <c r="J3" s="15">
        <f>'FU 0.78'!$C3</f>
        <v>33.786694230000002</v>
      </c>
      <c r="K3" s="15">
        <f>'FU 0.79'!$C3</f>
        <v>34.21919029</v>
      </c>
      <c r="L3" s="15">
        <f>'FU 0.8'!$C3</f>
        <v>34.651689359999999</v>
      </c>
      <c r="M3" s="15">
        <f>'FU 0.81'!$C3</f>
        <v>35.084191599999997</v>
      </c>
      <c r="N3" s="15">
        <f>'FU 0.82'!$C3</f>
        <v>35.516697200000003</v>
      </c>
      <c r="O3" s="15">
        <f>'FU 0.83'!$C3</f>
        <v>35.949206390000001</v>
      </c>
      <c r="P3" s="15">
        <f>'FU 0.84'!$C3</f>
        <v>36.381719400000001</v>
      </c>
      <c r="Q3" s="15">
        <f t="shared" ref="Q3:Q27" si="1">P3+P3-O3</f>
        <v>36.814232410000002</v>
      </c>
    </row>
    <row r="4" spans="1:17" x14ac:dyDescent="0.25">
      <c r="A4">
        <f>'FU 0.7'!A4</f>
        <v>0.62</v>
      </c>
      <c r="B4" s="15">
        <f>'FU 0.7'!$C4</f>
        <v>30.899863440000001</v>
      </c>
      <c r="C4" s="15">
        <f t="shared" si="0"/>
        <v>31.340530690000001</v>
      </c>
      <c r="D4" s="15">
        <f>'FU 0.72'!$C4</f>
        <v>31.781197939999998</v>
      </c>
      <c r="E4" s="15">
        <f>'FU 0.73'!$C4</f>
        <v>32.221868690000001</v>
      </c>
      <c r="F4" s="15">
        <f>'FU 0.74'!$C4</f>
        <v>32.66254189</v>
      </c>
      <c r="G4" s="15">
        <f>'FU 0.75'!$C4</f>
        <v>33.103217639999997</v>
      </c>
      <c r="H4" s="15">
        <f>'FU 0.76'!$C4</f>
        <v>33.543896050000001</v>
      </c>
      <c r="I4" s="15">
        <f>'FU 0.77'!$C4</f>
        <v>33.984577229999999</v>
      </c>
      <c r="J4" s="15">
        <f>'FU 0.78'!$C4</f>
        <v>34.425261329999998</v>
      </c>
      <c r="K4" s="15">
        <f>'FU 0.79'!$C4</f>
        <v>34.86594848</v>
      </c>
      <c r="L4" s="15">
        <f>'FU 0.8'!$C4</f>
        <v>35.306638849999999</v>
      </c>
      <c r="M4" s="15">
        <f>'FU 0.81'!$C4</f>
        <v>35.747332630000002</v>
      </c>
      <c r="N4" s="15">
        <f>'FU 0.82'!$C4</f>
        <v>36.188030019999999</v>
      </c>
      <c r="O4" s="15">
        <f>'FU 0.83'!$C4</f>
        <v>36.628731250000001</v>
      </c>
      <c r="P4" s="15">
        <f>'FU 0.84'!$C4</f>
        <v>37.069436590000002</v>
      </c>
      <c r="Q4" s="15">
        <f t="shared" si="1"/>
        <v>37.510141930000003</v>
      </c>
    </row>
    <row r="5" spans="1:17" x14ac:dyDescent="0.25">
      <c r="A5">
        <f>'FU 0.7'!A5</f>
        <v>0.63</v>
      </c>
      <c r="B5" s="15">
        <f>'FU 0.7'!$C5</f>
        <v>31.47293754</v>
      </c>
      <c r="C5" s="15">
        <f t="shared" si="0"/>
        <v>31.921795320000001</v>
      </c>
      <c r="D5" s="15">
        <f>'FU 0.72'!$C5</f>
        <v>32.370653099999998</v>
      </c>
      <c r="E5" s="15">
        <f>'FU 0.73'!$C5</f>
        <v>32.81951462</v>
      </c>
      <c r="F5" s="15">
        <f>'FU 0.74'!$C5</f>
        <v>33.268378769999998</v>
      </c>
      <c r="G5" s="15">
        <f>'FU 0.75'!$C5</f>
        <v>33.717245650000002</v>
      </c>
      <c r="H5" s="15">
        <f>'FU 0.76'!$C5</f>
        <v>34.166115380000001</v>
      </c>
      <c r="I5" s="15">
        <f>'FU 0.77'!$C5</f>
        <v>34.614988089999997</v>
      </c>
      <c r="J5" s="15">
        <f>'FU 0.78'!$C5</f>
        <v>35.063863920000003</v>
      </c>
      <c r="K5" s="15">
        <f>'FU 0.79'!$C5</f>
        <v>35.512743030000003</v>
      </c>
      <c r="L5" s="15">
        <f>'FU 0.8'!$C5</f>
        <v>35.961625599999998</v>
      </c>
      <c r="M5" s="15">
        <f>'FU 0.81'!$C5</f>
        <v>36.410511820000004</v>
      </c>
      <c r="N5" s="15">
        <f>'FU 0.82'!$C5</f>
        <v>36.859401929999997</v>
      </c>
      <c r="O5" s="15">
        <f>'FU 0.83'!$C5</f>
        <v>37.308296179999999</v>
      </c>
      <c r="P5" s="15">
        <f>'FU 0.84'!$C5</f>
        <v>37.757194859999998</v>
      </c>
      <c r="Q5" s="15">
        <f t="shared" si="1"/>
        <v>38.206093539999998</v>
      </c>
    </row>
    <row r="6" spans="1:17" x14ac:dyDescent="0.25">
      <c r="A6">
        <f>'FU 0.7'!A6</f>
        <v>0.64</v>
      </c>
      <c r="B6" s="15">
        <f>'FU 0.7'!$C6</f>
        <v>32.046043470000001</v>
      </c>
      <c r="C6" s="15">
        <f t="shared" si="0"/>
        <v>32.503092585000005</v>
      </c>
      <c r="D6" s="15">
        <f>'FU 0.72'!$C6</f>
        <v>32.960141700000001</v>
      </c>
      <c r="E6" s="15">
        <f>'FU 0.73'!$C6</f>
        <v>33.41719483</v>
      </c>
      <c r="F6" s="15">
        <f>'FU 0.74'!$C6</f>
        <v>33.874250779999997</v>
      </c>
      <c r="G6" s="15">
        <f>'FU 0.75'!$C6</f>
        <v>34.331309660000002</v>
      </c>
      <c r="H6" s="15">
        <f>'FU 0.76'!$C6</f>
        <v>34.788371599999998</v>
      </c>
      <c r="I6" s="15">
        <f>'FU 0.77'!$C6</f>
        <v>35.245436740000002</v>
      </c>
      <c r="J6" s="15">
        <f>'FU 0.78'!$C6</f>
        <v>35.702505240000001</v>
      </c>
      <c r="K6" s="15">
        <f>'FU 0.79'!$C6</f>
        <v>36.159577280000001</v>
      </c>
      <c r="L6" s="15">
        <f>'FU 0.8'!$C6</f>
        <v>36.616653030000002</v>
      </c>
      <c r="M6" s="15">
        <f>'FU 0.81'!$C6</f>
        <v>37.073732730000003</v>
      </c>
      <c r="N6" s="15">
        <f>'FU 0.82'!$C6</f>
        <v>37.530816620000003</v>
      </c>
      <c r="O6" s="15">
        <f>'FU 0.83'!$C6</f>
        <v>37.987904970000002</v>
      </c>
      <c r="P6" s="15">
        <f>'FU 0.84'!$C6</f>
        <v>38.444998099999999</v>
      </c>
      <c r="Q6" s="15">
        <f t="shared" si="1"/>
        <v>38.902091229999996</v>
      </c>
    </row>
    <row r="7" spans="1:17" x14ac:dyDescent="0.25">
      <c r="A7">
        <f>'FU 0.7'!A7</f>
        <v>0.65</v>
      </c>
      <c r="B7" s="15">
        <f>'FU 0.7'!$C7</f>
        <v>32.619184140000002</v>
      </c>
      <c r="C7" s="15">
        <f t="shared" si="0"/>
        <v>33.08442548</v>
      </c>
      <c r="D7" s="15">
        <f>'FU 0.72'!$C7</f>
        <v>33.549666819999999</v>
      </c>
      <c r="E7" s="15">
        <f>'FU 0.73'!$C7</f>
        <v>34.01491248</v>
      </c>
      <c r="F7" s="15">
        <f>'FU 0.74'!$C7</f>
        <v>34.480161170000002</v>
      </c>
      <c r="G7" s="15">
        <f>'FU 0.75'!$C7</f>
        <v>34.945413019999997</v>
      </c>
      <c r="H7" s="15">
        <f>'FU 0.76'!$C7</f>
        <v>35.410668170000001</v>
      </c>
      <c r="I7" s="15">
        <f>'FU 0.77'!$C7</f>
        <v>35.87592677</v>
      </c>
      <c r="J7" s="15">
        <f>'FU 0.78'!$C7</f>
        <v>36.341188989999999</v>
      </c>
      <c r="K7" s="15">
        <f>'FU 0.79'!$C7</f>
        <v>36.806455020000001</v>
      </c>
      <c r="L7" s="15">
        <f>'FU 0.8'!$C7</f>
        <v>37.271725070000002</v>
      </c>
      <c r="M7" s="15">
        <f>'FU 0.81'!$C7</f>
        <v>37.73699938</v>
      </c>
      <c r="N7" s="15">
        <f>'FU 0.82'!$C7</f>
        <v>38.202278210000003</v>
      </c>
      <c r="O7" s="15">
        <f>'FU 0.83'!$C7</f>
        <v>38.667561880000001</v>
      </c>
      <c r="P7" s="15">
        <f>'FU 0.84'!$C7</f>
        <v>39.132850730000001</v>
      </c>
      <c r="Q7" s="15">
        <f t="shared" si="1"/>
        <v>39.598139580000002</v>
      </c>
    </row>
    <row r="8" spans="1:17" x14ac:dyDescent="0.25">
      <c r="A8">
        <f>'FU 0.7'!A8</f>
        <v>0.66</v>
      </c>
      <c r="B8" s="15">
        <f>'FU 0.7'!$C8</f>
        <v>33.19236282</v>
      </c>
      <c r="C8" s="15">
        <f t="shared" si="0"/>
        <v>33.665797380000001</v>
      </c>
      <c r="D8" s="15">
        <f>'FU 0.72'!$C8</f>
        <v>34.139231940000002</v>
      </c>
      <c r="E8" s="15">
        <f>'FU 0.73'!$C8</f>
        <v>34.612671159999998</v>
      </c>
      <c r="F8" s="15">
        <f>'FU 0.74'!$C8</f>
        <v>35.086113650000001</v>
      </c>
      <c r="G8" s="15">
        <f>'FU 0.75'!$C8</f>
        <v>35.559559550000003</v>
      </c>
      <c r="H8" s="15">
        <f>'FU 0.76'!$C8</f>
        <v>36.033009010000001</v>
      </c>
      <c r="I8" s="15">
        <f>'FU 0.77'!$C8</f>
        <v>36.506462200000001</v>
      </c>
      <c r="J8" s="15">
        <f>'FU 0.78'!$C8</f>
        <v>36.979919299999999</v>
      </c>
      <c r="K8" s="15">
        <f>'FU 0.79'!$C8</f>
        <v>37.453380529999997</v>
      </c>
      <c r="L8" s="15">
        <f>'FU 0.8'!$C8</f>
        <v>37.92684612</v>
      </c>
      <c r="M8" s="15">
        <f>'FU 0.81'!$C8</f>
        <v>38.400316320000002</v>
      </c>
      <c r="N8" s="15">
        <f>'FU 0.82'!$C8</f>
        <v>38.873791429999997</v>
      </c>
      <c r="O8" s="15">
        <f>'FU 0.83'!$C8</f>
        <v>39.347271790000001</v>
      </c>
      <c r="P8" s="15">
        <f>'FU 0.84'!$C8</f>
        <v>39.820757780000001</v>
      </c>
      <c r="Q8" s="15">
        <f t="shared" si="1"/>
        <v>40.294243770000001</v>
      </c>
    </row>
    <row r="9" spans="1:17" x14ac:dyDescent="0.25">
      <c r="A9">
        <f>'FU 0.7'!A9</f>
        <v>0.67</v>
      </c>
      <c r="B9" s="15">
        <f>'FU 0.7'!$C9</f>
        <v>33.765583210000003</v>
      </c>
      <c r="C9" s="15">
        <f t="shared" si="0"/>
        <v>34.24721211</v>
      </c>
      <c r="D9" s="15">
        <f>'FU 0.72'!$C9</f>
        <v>34.728841009999996</v>
      </c>
      <c r="E9" s="15">
        <f>'FU 0.73'!$C9</f>
        <v>35.210474939999997</v>
      </c>
      <c r="F9" s="15">
        <f>'FU 0.74'!$C9</f>
        <v>35.692112399999999</v>
      </c>
      <c r="G9" s="15">
        <f>'FU 0.75'!$C9</f>
        <v>36.173753560000002</v>
      </c>
      <c r="H9" s="15">
        <f>'FU 0.76'!$C9</f>
        <v>36.655398570000003</v>
      </c>
      <c r="I9" s="15">
        <f>'FU 0.77'!$C9</f>
        <v>37.137047629999998</v>
      </c>
      <c r="J9" s="15">
        <f>'FU 0.78'!$C9</f>
        <v>37.618700930000003</v>
      </c>
      <c r="K9" s="15">
        <f>'FU 0.79'!$C9</f>
        <v>38.100358710000002</v>
      </c>
      <c r="L9" s="15">
        <f>'FU 0.8'!$C9</f>
        <v>38.582021230000002</v>
      </c>
      <c r="M9" s="15">
        <f>'FU 0.81'!$C9</f>
        <v>39.063688759999998</v>
      </c>
      <c r="N9" s="15">
        <f>'FU 0.82'!$C9</f>
        <v>39.545361640000003</v>
      </c>
      <c r="O9" s="15">
        <f>'FU 0.83'!$C9</f>
        <v>40.027040229999997</v>
      </c>
      <c r="P9" s="15">
        <f>'FU 0.84'!$C9</f>
        <v>40.508724970000003</v>
      </c>
      <c r="Q9" s="15">
        <f t="shared" si="1"/>
        <v>40.990409710000009</v>
      </c>
    </row>
    <row r="10" spans="1:17" x14ac:dyDescent="0.25">
      <c r="A10">
        <f>'FU 0.7'!A10</f>
        <v>0.68</v>
      </c>
      <c r="B10" s="15">
        <f>'FU 0.7'!$C10</f>
        <v>34.338849539999998</v>
      </c>
      <c r="C10" s="15">
        <f t="shared" si="0"/>
        <v>34.828674015000004</v>
      </c>
      <c r="D10" s="15">
        <f>'FU 0.72'!$C10</f>
        <v>35.318498490000003</v>
      </c>
      <c r="E10" s="15">
        <f>'FU 0.73'!$C10</f>
        <v>35.808328420000002</v>
      </c>
      <c r="F10" s="15">
        <f>'FU 0.74'!$C10</f>
        <v>36.298162189999999</v>
      </c>
      <c r="G10" s="15">
        <f>'FU 0.75'!$C10</f>
        <v>36.78799996</v>
      </c>
      <c r="H10" s="15">
        <f>'FU 0.76'!$C10</f>
        <v>37.277841930000001</v>
      </c>
      <c r="I10" s="15">
        <f>'FU 0.77'!$C10</f>
        <v>37.767688290000002</v>
      </c>
      <c r="J10" s="15">
        <f>'FU 0.78'!$C10</f>
        <v>38.257539280000003</v>
      </c>
      <c r="K10" s="15">
        <f>'FU 0.79'!$C10</f>
        <v>38.747395150000003</v>
      </c>
      <c r="L10" s="15">
        <f>'FU 0.8'!$C10</f>
        <v>39.237256170000002</v>
      </c>
      <c r="M10" s="15">
        <f>'FU 0.81'!$C10</f>
        <v>39.72712267</v>
      </c>
      <c r="N10" s="15">
        <f>'FU 0.82'!$C10</f>
        <v>40.216995009999998</v>
      </c>
      <c r="O10" s="15">
        <f>'FU 0.83'!$C10</f>
        <v>40.706873600000002</v>
      </c>
      <c r="P10" s="15">
        <f>'FU 0.84'!$C10</f>
        <v>41.196758920000001</v>
      </c>
      <c r="Q10" s="15">
        <f t="shared" si="1"/>
        <v>41.68664424</v>
      </c>
    </row>
    <row r="11" spans="1:17" x14ac:dyDescent="0.25">
      <c r="A11">
        <f>'FU 0.7'!A11</f>
        <v>0.69</v>
      </c>
      <c r="B11" s="15">
        <f>'FU 0.7'!$C11</f>
        <v>34.912166620000001</v>
      </c>
      <c r="C11" s="15">
        <f t="shared" si="0"/>
        <v>35.410188070000004</v>
      </c>
      <c r="D11" s="15">
        <f>'FU 0.72'!$C11</f>
        <v>35.90820952</v>
      </c>
      <c r="E11" s="15">
        <f>'FU 0.73'!$C11</f>
        <v>36.406236909999997</v>
      </c>
      <c r="F11" s="15">
        <f>'FU 0.74'!$C11</f>
        <v>36.904268469999998</v>
      </c>
      <c r="G11" s="15">
        <f>'FU 0.75'!$C11</f>
        <v>37.402304409999999</v>
      </c>
      <c r="H11" s="15">
        <f>'FU 0.76'!$C11</f>
        <v>37.900344910000001</v>
      </c>
      <c r="I11" s="15">
        <f>'FU 0.77'!$C11</f>
        <v>38.398390220000003</v>
      </c>
      <c r="J11" s="15">
        <f>'FU 0.78'!$C11</f>
        <v>38.896440570000003</v>
      </c>
      <c r="K11" s="15">
        <f>'FU 0.79'!$C11</f>
        <v>39.394496259999997</v>
      </c>
      <c r="L11" s="15">
        <f>'FU 0.8'!$C11</f>
        <v>39.892557590000003</v>
      </c>
      <c r="M11" s="15">
        <f>'FU 0.81'!$C11</f>
        <v>40.39062492</v>
      </c>
      <c r="N11" s="15">
        <f>'FU 0.82'!$C11</f>
        <v>40.888698660000003</v>
      </c>
      <c r="O11" s="15">
        <f>'FU 0.83'!$C11</f>
        <v>41.386779259999997</v>
      </c>
      <c r="P11" s="15">
        <f>'FU 0.84'!$C11</f>
        <v>41.884867249999999</v>
      </c>
      <c r="Q11" s="15">
        <f t="shared" si="1"/>
        <v>42.382955240000001</v>
      </c>
    </row>
    <row r="12" spans="1:17" x14ac:dyDescent="0.25">
      <c r="A12">
        <f>'FU 0.7'!A12</f>
        <v>0.7</v>
      </c>
      <c r="B12" s="15">
        <f>'FU 0.7'!$C12</f>
        <v>35.485539950000003</v>
      </c>
      <c r="C12" s="15">
        <f t="shared" si="0"/>
        <v>35.991759970000004</v>
      </c>
      <c r="D12" s="15">
        <f>'FU 0.72'!$C12</f>
        <v>36.497979989999997</v>
      </c>
      <c r="E12" s="15">
        <f>'FU 0.73'!$C12</f>
        <v>37.004206480000001</v>
      </c>
      <c r="F12" s="15">
        <f>'FU 0.74'!$C12</f>
        <v>37.510437549999999</v>
      </c>
      <c r="G12" s="15">
        <f>'FU 0.75'!$C12</f>
        <v>38.016673390000001</v>
      </c>
      <c r="H12" s="15">
        <f>'FU 0.76'!$C12</f>
        <v>38.522914239999999</v>
      </c>
      <c r="I12" s="15">
        <f>'FU 0.77'!$C12</f>
        <v>39.029160339999997</v>
      </c>
      <c r="J12" s="15">
        <f>'FU 0.78'!$C12</f>
        <v>39.535411979999999</v>
      </c>
      <c r="K12" s="15">
        <f>'FU 0.79'!$C12</f>
        <v>40.041669480000003</v>
      </c>
      <c r="L12" s="15">
        <f>'FU 0.8'!$C12</f>
        <v>40.547933180000001</v>
      </c>
      <c r="M12" s="15">
        <f>'FU 0.81'!$C12</f>
        <v>41.054203479999998</v>
      </c>
      <c r="N12" s="15">
        <f>'FU 0.82'!$C12</f>
        <v>41.560480839999997</v>
      </c>
      <c r="O12" s="15">
        <f>'FU 0.83'!$C12</f>
        <v>42.066765770000003</v>
      </c>
      <c r="P12" s="15">
        <f>'FU 0.84'!$C12</f>
        <v>42.573058860000003</v>
      </c>
      <c r="Q12" s="15">
        <f t="shared" si="1"/>
        <v>43.079351950000003</v>
      </c>
    </row>
    <row r="13" spans="1:17" x14ac:dyDescent="0.25">
      <c r="A13">
        <f>'FU 0.7'!A13</f>
        <v>0.71</v>
      </c>
      <c r="B13" s="15">
        <f>'FU 0.7'!$C13</f>
        <v>36.058975920000002</v>
      </c>
      <c r="C13" s="15">
        <f t="shared" si="0"/>
        <v>36.57339631</v>
      </c>
      <c r="D13" s="15">
        <f>'FU 0.72'!$C13</f>
        <v>37.087816699999998</v>
      </c>
      <c r="E13" s="15">
        <f>'FU 0.73'!$C13</f>
        <v>37.60224419</v>
      </c>
      <c r="F13" s="15">
        <f>'FU 0.74'!$C13</f>
        <v>38.116676699999999</v>
      </c>
      <c r="G13" s="15">
        <f>'FU 0.75'!$C13</f>
        <v>38.631114439999998</v>
      </c>
      <c r="H13" s="15">
        <f>'FU 0.76'!$C13</f>
        <v>39.145557689999997</v>
      </c>
      <c r="I13" s="15">
        <f>'FU 0.77'!$C13</f>
        <v>39.660006729999999</v>
      </c>
      <c r="J13" s="15">
        <f>'FU 0.78'!$C13</f>
        <v>40.174461860000001</v>
      </c>
      <c r="K13" s="15">
        <f>'FU 0.79'!$C13</f>
        <v>40.688923449999997</v>
      </c>
      <c r="L13" s="15">
        <f>'FU 0.8'!$C13</f>
        <v>41.2033919</v>
      </c>
      <c r="M13" s="15">
        <f>'FU 0.81'!$C13</f>
        <v>41.717867640000001</v>
      </c>
      <c r="N13" s="15">
        <f>'FU 0.82'!$C13</f>
        <v>42.232351180000002</v>
      </c>
      <c r="O13" s="15">
        <f>'FU 0.83'!$C13</f>
        <v>42.746843120000001</v>
      </c>
      <c r="P13" s="15">
        <f>'FU 0.84'!$C13</f>
        <v>43.261344119999997</v>
      </c>
      <c r="Q13" s="15">
        <f t="shared" si="1"/>
        <v>43.775845119999993</v>
      </c>
    </row>
    <row r="14" spans="1:17" x14ac:dyDescent="0.25">
      <c r="A14">
        <f>'FU 0.7'!A14</f>
        <v>0.72</v>
      </c>
      <c r="B14" s="15">
        <f>'FU 0.7'!$C14</f>
        <v>36.632481900000002</v>
      </c>
      <c r="C14" s="15">
        <f t="shared" si="0"/>
        <v>37.155104730000005</v>
      </c>
      <c r="D14" s="15">
        <f>'FU 0.72'!$C14</f>
        <v>37.677727560000001</v>
      </c>
      <c r="E14" s="15">
        <f>'FU 0.73'!$C14</f>
        <v>38.200358209999997</v>
      </c>
      <c r="F14" s="15">
        <f>'FU 0.74'!$C14</f>
        <v>38.722994389999997</v>
      </c>
      <c r="G14" s="15">
        <f>'FU 0.75'!$C14</f>
        <v>39.245636339999997</v>
      </c>
      <c r="H14" s="15">
        <f>'FU 0.76'!$C14</f>
        <v>39.768284379999997</v>
      </c>
      <c r="I14" s="15">
        <f>'FU 0.77'!$C14</f>
        <v>40.290938799999999</v>
      </c>
      <c r="J14" s="15">
        <f>'FU 0.78'!$C14</f>
        <v>40.813599979999999</v>
      </c>
      <c r="K14" s="15">
        <f>'FU 0.79'!$C14</f>
        <v>41.336268310000001</v>
      </c>
      <c r="L14" s="15">
        <f>'FU 0.8'!$C14</f>
        <v>41.85894425</v>
      </c>
      <c r="M14" s="15">
        <f>'FU 0.81'!$C14</f>
        <v>42.381628290000002</v>
      </c>
      <c r="N14" s="15">
        <f>'FU 0.82'!$C14</f>
        <v>42.904321029999998</v>
      </c>
      <c r="O14" s="15">
        <f>'FU 0.83'!$C14</f>
        <v>43.42702311</v>
      </c>
      <c r="P14" s="15">
        <f>'FU 0.84'!$C14</f>
        <v>43.949735310000001</v>
      </c>
      <c r="Q14" s="15">
        <f t="shared" si="1"/>
        <v>44.472447510000002</v>
      </c>
    </row>
    <row r="15" spans="1:17" x14ac:dyDescent="0.25">
      <c r="A15">
        <f>'FU 0.7'!A15</f>
        <v>0.73</v>
      </c>
      <c r="B15" s="15">
        <f>'FU 0.7'!$C15</f>
        <v>37.20606652</v>
      </c>
      <c r="C15" s="15">
        <f t="shared" si="0"/>
        <v>37.736894175000003</v>
      </c>
      <c r="D15" s="15">
        <f>'FU 0.72'!$C15</f>
        <v>38.267721829999999</v>
      </c>
      <c r="E15" s="15">
        <f>'FU 0.73'!$C15</f>
        <v>38.798558139999997</v>
      </c>
      <c r="F15" s="15">
        <f>'FU 0.74'!$C15</f>
        <v>39.329400560000003</v>
      </c>
      <c r="G15" s="15">
        <f>'FU 0.75'!$C15</f>
        <v>39.86024939</v>
      </c>
      <c r="H15" s="15">
        <f>'FU 0.76'!$C15</f>
        <v>40.39110496</v>
      </c>
      <c r="I15" s="15">
        <f>'FU 0.77'!$C15</f>
        <v>40.921967639999998</v>
      </c>
      <c r="J15" s="15">
        <f>'FU 0.78'!$C15</f>
        <v>41.452837840000001</v>
      </c>
      <c r="K15" s="15">
        <f>'FU 0.79'!$C15</f>
        <v>41.983716000000001</v>
      </c>
      <c r="L15" s="15">
        <f>'FU 0.8'!$C15</f>
        <v>42.51460264</v>
      </c>
      <c r="M15" s="15">
        <f>'FU 0.81'!$C15</f>
        <v>43.045498350000003</v>
      </c>
      <c r="N15" s="15">
        <f>'FU 0.82'!$C15</f>
        <v>43.576403790000001</v>
      </c>
      <c r="O15" s="15">
        <f>'FU 0.83'!$C15</f>
        <v>44.107319709999999</v>
      </c>
      <c r="P15" s="15">
        <f>'FU 0.84'!$C15</f>
        <v>44.638247</v>
      </c>
      <c r="Q15" s="15">
        <f t="shared" si="1"/>
        <v>45.169174290000001</v>
      </c>
    </row>
    <row r="16" spans="1:17" x14ac:dyDescent="0.25">
      <c r="A16">
        <f>'FU 0.7'!A16</f>
        <v>0.74</v>
      </c>
      <c r="B16" s="15">
        <f>'FU 0.7'!$C16</f>
        <v>37.779739910000004</v>
      </c>
      <c r="C16" s="15">
        <f t="shared" si="0"/>
        <v>38.318775160000001</v>
      </c>
      <c r="D16" s="15">
        <f>'FU 0.72'!$C16</f>
        <v>38.857810409999999</v>
      </c>
      <c r="E16" s="15">
        <f>'FU 0.73'!$C16</f>
        <v>39.396855270000003</v>
      </c>
      <c r="F16" s="15">
        <f>'FU 0.74'!$C16</f>
        <v>39.935906940000002</v>
      </c>
      <c r="G16" s="15">
        <f>'FU 0.75'!$C16</f>
        <v>40.474965760000003</v>
      </c>
      <c r="H16" s="15">
        <f>'FU 0.76'!$C16</f>
        <v>41.014032100000001</v>
      </c>
      <c r="I16" s="15">
        <f>'FU 0.77'!$C16</f>
        <v>41.553106390000004</v>
      </c>
      <c r="J16" s="15">
        <f>'FU 0.78'!$C16</f>
        <v>42.092189079999997</v>
      </c>
      <c r="K16" s="15">
        <f>'FU 0.79'!$C16</f>
        <v>42.631280709999999</v>
      </c>
      <c r="L16" s="15">
        <f>'FU 0.8'!$C16</f>
        <v>43.170381859999999</v>
      </c>
      <c r="M16" s="15">
        <f>'FU 0.81'!$C16</f>
        <v>43.709493209999998</v>
      </c>
      <c r="N16" s="15">
        <f>'FU 0.82'!$C16</f>
        <v>44.24861551</v>
      </c>
      <c r="O16" s="15">
        <f>'FU 0.83'!$C16</f>
        <v>44.787749660000003</v>
      </c>
      <c r="P16" s="15">
        <f>'FU 0.84'!$C16</f>
        <v>45.326896669999996</v>
      </c>
      <c r="Q16" s="15">
        <f t="shared" si="1"/>
        <v>45.86604367999999</v>
      </c>
    </row>
    <row r="17" spans="1:17" x14ac:dyDescent="0.25">
      <c r="A17">
        <f>'FU 0.7'!A17</f>
        <v>0.75</v>
      </c>
      <c r="B17" s="15">
        <f>'FU 0.7'!$C17</f>
        <v>38.353514070000003</v>
      </c>
      <c r="C17" s="15">
        <f t="shared" si="0"/>
        <v>38.900760149999996</v>
      </c>
      <c r="D17" s="15">
        <f>'FU 0.72'!$C17</f>
        <v>39.448006229999997</v>
      </c>
      <c r="E17" s="15">
        <f>'FU 0.73'!$C17</f>
        <v>39.995263059999999</v>
      </c>
      <c r="F17" s="15">
        <f>'FU 0.74'!$C17</f>
        <v>40.542527499999998</v>
      </c>
      <c r="G17" s="15">
        <f>'FU 0.75'!$C17</f>
        <v>41.089799970000001</v>
      </c>
      <c r="H17" s="15">
        <f>'FU 0.76'!$C17</f>
        <v>41.63708089</v>
      </c>
      <c r="I17" s="15">
        <f>'FU 0.77'!$C17</f>
        <v>42.184370739999999</v>
      </c>
      <c r="J17" s="15">
        <f>'FU 0.78'!$C17</f>
        <v>42.73167007</v>
      </c>
      <c r="K17" s="15">
        <f>'FU 0.79'!$C17</f>
        <v>43.278979479999997</v>
      </c>
      <c r="L17" s="15">
        <f>'FU 0.8'!$C17</f>
        <v>43.826299659999997</v>
      </c>
      <c r="M17" s="15">
        <f>'FU 0.81'!$C17</f>
        <v>44.373631379999999</v>
      </c>
      <c r="N17" s="15">
        <f>'FU 0.82'!$C17</f>
        <v>44.920975560000002</v>
      </c>
      <c r="O17" s="15">
        <f>'FU 0.83'!$C17</f>
        <v>45.468333199999996</v>
      </c>
      <c r="P17" s="15">
        <f>'FU 0.84'!$C17</f>
        <v>46.015705519999997</v>
      </c>
      <c r="Q17" s="15">
        <f t="shared" si="1"/>
        <v>46.563077839999998</v>
      </c>
    </row>
    <row r="18" spans="1:17" x14ac:dyDescent="0.25">
      <c r="A18">
        <f>'FU 0.7'!A18</f>
        <v>0.76</v>
      </c>
      <c r="B18" s="15">
        <f>'FU 0.7'!$C18</f>
        <v>38.927403329999997</v>
      </c>
      <c r="C18" s="15">
        <f t="shared" si="0"/>
        <v>39.482864055</v>
      </c>
      <c r="D18" s="15">
        <f>'FU 0.72'!$C18</f>
        <v>40.038324780000003</v>
      </c>
      <c r="E18" s="15">
        <f>'FU 0.73'!$C18</f>
        <v>40.593797600000002</v>
      </c>
      <c r="F18" s="15">
        <f>'FU 0.74'!$C18</f>
        <v>41.149279010000001</v>
      </c>
      <c r="G18" s="15">
        <f>'FU 0.75'!$C18</f>
        <v>41.704769480000003</v>
      </c>
      <c r="H18" s="15">
        <f>'FU 0.76'!$C18</f>
        <v>42.260269510000001</v>
      </c>
      <c r="I18" s="15">
        <f>'FU 0.77'!$C18</f>
        <v>42.815779659999997</v>
      </c>
      <c r="J18" s="15">
        <f>'FU 0.78'!$C18</f>
        <v>43.371300560000002</v>
      </c>
      <c r="K18" s="15">
        <f>'FU 0.79'!$C18</f>
        <v>43.926832930000003</v>
      </c>
      <c r="L18" s="15">
        <f>'FU 0.8'!$C18</f>
        <v>44.482377579999998</v>
      </c>
      <c r="M18" s="15">
        <f>'FU 0.81'!$C18</f>
        <v>45.037935419999997</v>
      </c>
      <c r="N18" s="15">
        <f>'FU 0.82'!$C18</f>
        <v>45.593507510000002</v>
      </c>
      <c r="O18" s="15">
        <f>'FU 0.83'!$C18</f>
        <v>46.149095070000001</v>
      </c>
      <c r="P18" s="15">
        <f>'FU 0.84'!$C18</f>
        <v>46.704699519999998</v>
      </c>
      <c r="Q18" s="15">
        <f t="shared" si="1"/>
        <v>47.260303969999995</v>
      </c>
    </row>
    <row r="19" spans="1:17" x14ac:dyDescent="0.25">
      <c r="A19">
        <f>'FU 0.7'!A19</f>
        <v>0.77</v>
      </c>
      <c r="B19" s="15">
        <f>'FU 0.7'!$C19</f>
        <v>39.50142494</v>
      </c>
      <c r="C19" s="15">
        <f t="shared" si="0"/>
        <v>40.065104859999998</v>
      </c>
      <c r="D19" s="15">
        <f>'FU 0.72'!$C19</f>
        <v>40.628784779999997</v>
      </c>
      <c r="E19" s="15">
        <f>'FU 0.73'!$C19</f>
        <v>41.19247841</v>
      </c>
      <c r="F19" s="15">
        <f>'FU 0.74'!$C19</f>
        <v>41.7561818</v>
      </c>
      <c r="G19" s="15">
        <f>'FU 0.75'!$C19</f>
        <v>42.319895500000001</v>
      </c>
      <c r="H19" s="15">
        <f>'FU 0.76'!$C19</f>
        <v>42.883620090000001</v>
      </c>
      <c r="I19" s="15">
        <f>'FU 0.77'!$C19</f>
        <v>43.447356249999999</v>
      </c>
      <c r="J19" s="15">
        <f>'FU 0.78'!$C19</f>
        <v>44.011104719999999</v>
      </c>
      <c r="K19" s="15">
        <f>'FU 0.79'!$C19</f>
        <v>44.574866350000001</v>
      </c>
      <c r="L19" s="15">
        <f>'FU 0.8'!$C19</f>
        <v>45.138642099999998</v>
      </c>
      <c r="M19" s="15">
        <f>'FU 0.81'!$C19</f>
        <v>45.702433059999997</v>
      </c>
      <c r="N19" s="15">
        <f>'FU 0.82'!$C19</f>
        <v>46.266240500000002</v>
      </c>
      <c r="O19" s="15">
        <f>'FU 0.83'!$C19</f>
        <v>46.830065879999999</v>
      </c>
      <c r="P19" s="15">
        <f>'FU 0.84'!$C19</f>
        <v>47.393910920000003</v>
      </c>
      <c r="Q19" s="15">
        <f t="shared" si="1"/>
        <v>47.957755960000007</v>
      </c>
    </row>
    <row r="20" spans="1:17" x14ac:dyDescent="0.25">
      <c r="A20">
        <f>'FU 0.7'!A20</f>
        <v>0.78</v>
      </c>
      <c r="B20" s="15">
        <f>'FU 0.7'!$C20</f>
        <v>40.0755999</v>
      </c>
      <c r="C20" s="15">
        <f t="shared" si="0"/>
        <v>40.647504499999997</v>
      </c>
      <c r="D20" s="15">
        <f>'FU 0.72'!$C20</f>
        <v>41.2194091</v>
      </c>
      <c r="E20" s="15">
        <f>'FU 0.73'!$C20</f>
        <v>41.791329359999999</v>
      </c>
      <c r="F20" s="15">
        <f>'FU 0.74'!$C20</f>
        <v>42.36326081</v>
      </c>
      <c r="G20" s="15">
        <f>'FU 0.75'!$C20</f>
        <v>42.935204079999998</v>
      </c>
      <c r="H20" s="15">
        <f>'FU 0.76'!$C20</f>
        <v>43.507159899999998</v>
      </c>
      <c r="I20" s="15">
        <f>'FU 0.77'!$C20</f>
        <v>44.079129049999999</v>
      </c>
      <c r="J20" s="15">
        <f>'FU 0.78'!$C20</f>
        <v>44.651112439999999</v>
      </c>
      <c r="K20" s="15">
        <f>'FU 0.79'!$C20</f>
        <v>45.223111080000002</v>
      </c>
      <c r="L20" s="15">
        <f>'FU 0.8'!$C20</f>
        <v>45.795126119999999</v>
      </c>
      <c r="M20" s="15">
        <f>'FU 0.81'!$C20</f>
        <v>46.3671589</v>
      </c>
      <c r="N20" s="15">
        <f>'FU 0.82'!$C20</f>
        <v>46.939210940000002</v>
      </c>
      <c r="O20" s="15">
        <f>'FU 0.83'!$C20</f>
        <v>47.51128405</v>
      </c>
      <c r="P20" s="15">
        <f>'FU 0.84'!$C20</f>
        <v>48.083380310000003</v>
      </c>
      <c r="Q20" s="15">
        <f t="shared" si="1"/>
        <v>48.655476570000005</v>
      </c>
    </row>
    <row r="21" spans="1:17" x14ac:dyDescent="0.25">
      <c r="A21">
        <f>'FU 0.7'!A21</f>
        <v>0.79</v>
      </c>
      <c r="B21" s="15">
        <f>'FU 0.7'!$C21</f>
        <v>40.649954080000001</v>
      </c>
      <c r="C21" s="15">
        <f t="shared" si="0"/>
        <v>41.23009003</v>
      </c>
      <c r="D21" s="15">
        <f>'FU 0.72'!$C21</f>
        <v>41.810225979999998</v>
      </c>
      <c r="E21" s="15">
        <f>'FU 0.73'!$C21</f>
        <v>42.39038</v>
      </c>
      <c r="F21" s="15">
        <f>'FU 0.74'!$C21</f>
        <v>42.970546970000001</v>
      </c>
      <c r="G21" s="15">
        <f>'FU 0.75'!$C21</f>
        <v>43.55072766</v>
      </c>
      <c r="H21" s="15">
        <f>'FU 0.76'!$C21</f>
        <v>44.130922929999997</v>
      </c>
      <c r="I21" s="15">
        <f>'FU 0.77'!$C21</f>
        <v>44.711133740000001</v>
      </c>
      <c r="J21" s="15">
        <f>'FU 0.78'!$C21</f>
        <v>45.291361199999997</v>
      </c>
      <c r="K21" s="15">
        <f>'FU 0.79'!$C21</f>
        <v>45.871606530000001</v>
      </c>
      <c r="L21" s="15">
        <f>'FU 0.8'!$C21</f>
        <v>46.451871169999997</v>
      </c>
      <c r="M21" s="15">
        <f>'FU 0.81'!$C21</f>
        <v>47.032156739999998</v>
      </c>
      <c r="N21" s="15">
        <f>'FU 0.82'!$C21</f>
        <v>47.612465149999998</v>
      </c>
      <c r="O21" s="15">
        <f>'FU 0.83'!$C21</f>
        <v>48.192798609999997</v>
      </c>
      <c r="P21" s="15">
        <f>'FU 0.84'!$C21</f>
        <v>48.773159769999999</v>
      </c>
      <c r="Q21" s="15">
        <f t="shared" si="1"/>
        <v>49.353520930000002</v>
      </c>
    </row>
    <row r="22" spans="1:17" x14ac:dyDescent="0.25">
      <c r="A22">
        <f>'FU 0.7'!A22</f>
        <v>0.8</v>
      </c>
      <c r="B22" s="15">
        <f>'FU 0.7'!$C22</f>
        <v>41.224519700000002</v>
      </c>
      <c r="C22" s="15">
        <f t="shared" si="0"/>
        <v>41.812895269999999</v>
      </c>
      <c r="D22" s="15">
        <f>'FU 0.72'!$C22</f>
        <v>42.401270840000002</v>
      </c>
      <c r="E22" s="15">
        <f>'FU 0.73'!$C22</f>
        <v>42.989667480000001</v>
      </c>
      <c r="F22" s="15">
        <f>'FU 0.74'!$C22</f>
        <v>43.578079279999997</v>
      </c>
      <c r="G22" s="15">
        <f>'FU 0.75'!$C22</f>
        <v>44.166507180000004</v>
      </c>
      <c r="H22" s="15">
        <f>'FU 0.76'!$C22</f>
        <v>44.754952240000001</v>
      </c>
      <c r="I22" s="15">
        <f>'FU 0.77'!$C22</f>
        <v>45.343415649999997</v>
      </c>
      <c r="J22" s="15">
        <f>'FU 0.78'!$C22</f>
        <v>45.931898769999997</v>
      </c>
      <c r="K22" s="15">
        <f>'FU 0.79'!$C22</f>
        <v>46.520403160000001</v>
      </c>
      <c r="L22" s="15">
        <f>'FU 0.8'!$C22</f>
        <v>47.108930569999998</v>
      </c>
      <c r="M22" s="15">
        <f>'FU 0.81'!$C22</f>
        <v>47.697483069999997</v>
      </c>
      <c r="N22" s="15">
        <f>'FU 0.82'!$C22</f>
        <v>48.286063059999996</v>
      </c>
      <c r="O22" s="15">
        <f>'FU 0.83'!$C22</f>
        <v>48.874673360000003</v>
      </c>
      <c r="P22" s="15">
        <f>'FU 0.84'!$C22</f>
        <v>49.463317349999997</v>
      </c>
      <c r="Q22" s="15">
        <f t="shared" si="1"/>
        <v>50.051961339999991</v>
      </c>
    </row>
    <row r="23" spans="1:17" x14ac:dyDescent="0.25">
      <c r="A23">
        <f>'FU 0.7'!A23</f>
        <v>0.81</v>
      </c>
      <c r="B23" s="15">
        <f>'FU 0.7'!$C23</f>
        <v>41.79933758</v>
      </c>
      <c r="C23" s="15">
        <f t="shared" si="0"/>
        <v>42.39596315</v>
      </c>
      <c r="D23" s="15">
        <f>'FU 0.72'!$C23</f>
        <v>42.992588720000001</v>
      </c>
      <c r="E23" s="15">
        <f>'FU 0.73'!$C23</f>
        <v>43.589239190000001</v>
      </c>
      <c r="F23" s="15">
        <f>'FU 0.74'!$C23</f>
        <v>44.185907630000003</v>
      </c>
      <c r="G23" s="15">
        <f>'FU 0.75'!$C23</f>
        <v>44.782595229999998</v>
      </c>
      <c r="H23" s="15">
        <f>'FU 0.76'!$C23</f>
        <v>45.379303319999998</v>
      </c>
      <c r="I23" s="15">
        <f>'FU 0.77'!$C23</f>
        <v>45.976033409999999</v>
      </c>
      <c r="J23" s="15">
        <f>'FU 0.78'!$C23</f>
        <v>46.572787210000001</v>
      </c>
      <c r="K23" s="15">
        <f>'FU 0.79'!$C23</f>
        <v>47.169566699999997</v>
      </c>
      <c r="L23" s="15">
        <f>'FU 0.8'!$C23</f>
        <v>47.766374149999997</v>
      </c>
      <c r="M23" s="15">
        <f>'FU 0.81'!$C23</f>
        <v>48.3632122</v>
      </c>
      <c r="N23" s="15">
        <f>'FU 0.82'!$C23</f>
        <v>48.96008398</v>
      </c>
      <c r="O23" s="15">
        <f>'FU 0.83'!$C23</f>
        <v>49.556993179999999</v>
      </c>
      <c r="P23" s="15">
        <f>'FU 0.84'!$C23</f>
        <v>50.15394423</v>
      </c>
      <c r="Q23" s="15">
        <f t="shared" si="1"/>
        <v>50.750895280000002</v>
      </c>
    </row>
    <row r="24" spans="1:17" x14ac:dyDescent="0.25">
      <c r="A24">
        <f>'FU 0.7'!A24</f>
        <v>0.82</v>
      </c>
      <c r="B24" s="15">
        <f>'FU 0.7'!$C24</f>
        <v>42.374460229999997</v>
      </c>
      <c r="C24" s="15">
        <f t="shared" si="0"/>
        <v>42.979349104999997</v>
      </c>
      <c r="D24" s="15">
        <f>'FU 0.72'!$C24</f>
        <v>43.584237979999997</v>
      </c>
      <c r="E24" s="15">
        <f>'FU 0.73'!$C24</f>
        <v>44.189156730000001</v>
      </c>
      <c r="F24" s="15">
        <f>'FU 0.74'!$C24</f>
        <v>44.794097129999997</v>
      </c>
      <c r="G24" s="15">
        <f>'FU 0.75'!$C24</f>
        <v>45.399060710000001</v>
      </c>
      <c r="H24" s="15">
        <f>'FU 0.76'!$C24</f>
        <v>46.004049170000002</v>
      </c>
      <c r="I24" s="15">
        <f>'FU 0.77'!$C24</f>
        <v>46.609064480000001</v>
      </c>
      <c r="J24" s="15">
        <f>'FU 0.78'!$C24</f>
        <v>47.214108860000003</v>
      </c>
      <c r="K24" s="15">
        <f>'FU 0.79'!$C24</f>
        <v>47.819184900000003</v>
      </c>
      <c r="L24" s="15">
        <f>'FU 0.8'!$C24</f>
        <v>48.42429301</v>
      </c>
      <c r="M24" s="15">
        <f>'FU 0.81'!$C24</f>
        <v>49.029441839999997</v>
      </c>
      <c r="N24" s="15">
        <f>'FU 0.82'!$C24</f>
        <v>49.634633020000003</v>
      </c>
      <c r="O24" s="15">
        <f>'FU 0.83'!$C24</f>
        <v>50.239871530000002</v>
      </c>
      <c r="P24" s="15">
        <f>'FU 0.84'!$C24</f>
        <v>50.845163460000002</v>
      </c>
      <c r="Q24" s="15">
        <f t="shared" si="1"/>
        <v>51.450455390000002</v>
      </c>
    </row>
    <row r="25" spans="1:17" x14ac:dyDescent="0.25">
      <c r="A25">
        <f>'FU 0.7'!A25</f>
        <v>0.83</v>
      </c>
      <c r="B25" s="15">
        <f>'FU 0.7'!$C25</f>
        <v>42.9499566</v>
      </c>
      <c r="C25" s="15">
        <f t="shared" si="0"/>
        <v>43.563126230000002</v>
      </c>
      <c r="D25" s="15">
        <f>'FU 0.72'!$C25</f>
        <v>44.176295860000003</v>
      </c>
      <c r="E25" s="15">
        <f>'FU 0.73'!$C25</f>
        <v>44.789501960000003</v>
      </c>
      <c r="F25" s="15">
        <f>'FU 0.74'!$C25</f>
        <v>45.402732260000001</v>
      </c>
      <c r="G25" s="15">
        <f>'FU 0.75'!$C25</f>
        <v>46.015993530000003</v>
      </c>
      <c r="H25" s="15">
        <f>'FU 0.76'!$C25</f>
        <v>46.629285670000002</v>
      </c>
      <c r="I25" s="15">
        <f>'FU 0.77'!$C25</f>
        <v>47.2426113</v>
      </c>
      <c r="J25" s="15">
        <f>'FU 0.78'!$C25</f>
        <v>47.855973400000003</v>
      </c>
      <c r="K25" s="15">
        <f>'FU 0.79'!$C25</f>
        <v>48.469375470000003</v>
      </c>
      <c r="L25" s="15">
        <f>'FU 0.8'!$C25</f>
        <v>49.082821619999997</v>
      </c>
      <c r="M25" s="15">
        <f>'FU 0.81'!$C25</f>
        <v>49.696316709999998</v>
      </c>
      <c r="N25" s="15">
        <f>'FU 0.82'!$C25</f>
        <v>50.309866540000002</v>
      </c>
      <c r="O25" s="15">
        <f>'FU 0.83'!$C25</f>
        <v>50.923478199999998</v>
      </c>
      <c r="P25" s="15">
        <f>'FU 0.84'!$C25</f>
        <v>51.537160360000001</v>
      </c>
      <c r="Q25" s="15">
        <f t="shared" si="1"/>
        <v>52.150842520000005</v>
      </c>
    </row>
    <row r="26" spans="1:17" x14ac:dyDescent="0.25">
      <c r="A26">
        <f>'FU 0.7'!A26</f>
        <v>0.84</v>
      </c>
      <c r="B26" s="15">
        <f>'FU 0.7'!$C26</f>
        <v>43.525917079999999</v>
      </c>
      <c r="C26" s="15">
        <f t="shared" si="0"/>
        <v>44.147390904999995</v>
      </c>
      <c r="D26" s="15">
        <f>'FU 0.72'!$C26</f>
        <v>44.768864729999997</v>
      </c>
      <c r="E26" s="15">
        <f>'FU 0.73'!$C26</f>
        <v>45.390384109999999</v>
      </c>
      <c r="F26" s="15">
        <f>'FU 0.74'!$C26</f>
        <v>46.011936939999998</v>
      </c>
      <c r="G26" s="15">
        <f>'FU 0.75'!$C26</f>
        <v>46.633525949999999</v>
      </c>
      <c r="H26" s="15">
        <f>'FU 0.76'!$C26</f>
        <v>47.255154269999998</v>
      </c>
      <c r="I26" s="15">
        <f>'FU 0.77'!$C26</f>
        <v>47.876825500000002</v>
      </c>
      <c r="J26" s="15">
        <f>'FU 0.78'!$C26</f>
        <v>48.498543849999997</v>
      </c>
      <c r="K26" s="15">
        <f>'FU 0.79'!$C26</f>
        <v>49.120314280000002</v>
      </c>
      <c r="L26" s="15">
        <f>'FU 0.8'!$C26</f>
        <v>49.742142629999996</v>
      </c>
      <c r="M26" s="15">
        <f>'FU 0.81'!$C26</f>
        <v>50.364035970000003</v>
      </c>
      <c r="N26" s="15">
        <f>'FU 0.82'!$C26</f>
        <v>50.986002839999998</v>
      </c>
      <c r="O26" s="15">
        <f>'FU 0.83'!$C26</f>
        <v>51.608053830000003</v>
      </c>
      <c r="P26" s="15">
        <f>'FU 0.84'!$C26</f>
        <v>52.230202179999999</v>
      </c>
      <c r="Q26" s="15">
        <f t="shared" si="1"/>
        <v>52.852350529999995</v>
      </c>
    </row>
    <row r="27" spans="1:17" x14ac:dyDescent="0.25">
      <c r="A27">
        <f>'FU 0.7'!A27</f>
        <v>0.85</v>
      </c>
      <c r="B27" s="15">
        <f>'FU 0.7'!$C27</f>
        <v>44.102474430000001</v>
      </c>
      <c r="C27" s="15">
        <f t="shared" si="0"/>
        <v>44.732285180000005</v>
      </c>
      <c r="D27" s="15">
        <f>'FU 0.72'!$C27</f>
        <v>45.362095930000002</v>
      </c>
      <c r="E27" s="15">
        <f>'FU 0.73'!$C27</f>
        <v>45.99196517</v>
      </c>
      <c r="F27" s="15">
        <f>'FU 0.74'!$C27</f>
        <v>46.621877750000003</v>
      </c>
      <c r="G27" s="15">
        <f>'FU 0.75'!$C27</f>
        <v>47.251837549999998</v>
      </c>
      <c r="H27" s="15">
        <f>'FU 0.76'!$C27</f>
        <v>47.881849090000003</v>
      </c>
      <c r="I27" s="15">
        <f>'FU 0.77'!$C27</f>
        <v>48.511917629999999</v>
      </c>
      <c r="J27" s="15">
        <f>'FU 0.78'!$C27</f>
        <v>49.142049370000002</v>
      </c>
      <c r="K27" s="15">
        <f>'FU 0.79'!$C27</f>
        <v>49.772251730000001</v>
      </c>
      <c r="L27" s="15">
        <f>'FU 0.8'!$C27</f>
        <v>50.40253362</v>
      </c>
      <c r="M27" s="15">
        <f>'FU 0.81'!$C27</f>
        <v>51.032905960000001</v>
      </c>
      <c r="N27" s="15">
        <f>'FU 0.82'!$C27</f>
        <v>51.66338228</v>
      </c>
      <c r="O27" s="15">
        <f>'FU 0.83'!$C27</f>
        <v>52.29397969</v>
      </c>
      <c r="P27" s="15">
        <f>'FU 0.84'!$C27</f>
        <v>52.924720229999998</v>
      </c>
      <c r="Q27" s="15">
        <f t="shared" si="1"/>
        <v>53.555460769999996</v>
      </c>
    </row>
  </sheetData>
  <conditionalFormatting sqref="B2:Q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opLeftCell="A19" workbookViewId="0">
      <selection activeCell="A2" sqref="A2:L27"/>
    </sheetView>
  </sheetViews>
  <sheetFormatPr defaultRowHeight="15" x14ac:dyDescent="0.25"/>
  <sheetData>
    <row r="1" spans="1:12" x14ac:dyDescent="0.2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11</v>
      </c>
    </row>
    <row r="2" spans="1:12" x14ac:dyDescent="0.25">
      <c r="A2">
        <f>0.6</f>
        <v>0.6</v>
      </c>
      <c r="B2">
        <f>38.60427445</f>
        <v>38.604274449999998</v>
      </c>
      <c r="C2">
        <f>35.69403984</f>
        <v>35.694039840000002</v>
      </c>
      <c r="D2">
        <f>24.90843455</f>
        <v>24.908434549999999</v>
      </c>
      <c r="E2">
        <f>60.60247439</f>
        <v>60.602474389999998</v>
      </c>
      <c r="F2">
        <f>37.61111259</f>
        <v>37.611112589999998</v>
      </c>
      <c r="G2">
        <f>34.77574881</f>
        <v>34.775748810000003</v>
      </c>
      <c r="H2">
        <f>5.453373235</f>
        <v>5.4533732349999999</v>
      </c>
      <c r="I2">
        <f>40.22912205</f>
        <v>40.229122050000001</v>
      </c>
      <c r="J2">
        <f>160.84304</f>
        <v>160.84304</v>
      </c>
      <c r="K2">
        <f>4.9689066</f>
        <v>4.9689066000000004</v>
      </c>
      <c r="L2">
        <f>8792.2354</f>
        <v>8792.2353999999996</v>
      </c>
    </row>
    <row r="3" spans="1:12" x14ac:dyDescent="0.25">
      <c r="A3">
        <f>0.61</f>
        <v>0.61</v>
      </c>
      <c r="B3">
        <f>39.24767903</f>
        <v>39.24767903</v>
      </c>
      <c r="C3">
        <f>36.3817194</f>
        <v>36.381719400000001</v>
      </c>
      <c r="D3">
        <f>24.75580394</f>
        <v>24.75580394</v>
      </c>
      <c r="E3">
        <f>61.13752334</f>
        <v>61.137523340000001</v>
      </c>
      <c r="F3">
        <f>38.23796447</f>
        <v>38.237964470000001</v>
      </c>
      <c r="G3">
        <f>35.44573662</f>
        <v>35.445736619999998</v>
      </c>
      <c r="H3">
        <f>5.435131739</f>
        <v>5.435131739</v>
      </c>
      <c r="I3">
        <f>40.88086836</f>
        <v>40.880868360000001</v>
      </c>
      <c r="J3">
        <f>159.12571</f>
        <v>159.12571</v>
      </c>
      <c r="K3">
        <f>5.0458725</f>
        <v>5.0458724999999998</v>
      </c>
      <c r="L3">
        <f>8555.764</f>
        <v>8555.7639999999992</v>
      </c>
    </row>
    <row r="4" spans="1:12" x14ac:dyDescent="0.25">
      <c r="A4">
        <f>0.62</f>
        <v>0.62</v>
      </c>
      <c r="B4">
        <f>39.8910836</f>
        <v>39.891083600000002</v>
      </c>
      <c r="C4">
        <f>37.06943659</f>
        <v>37.069436590000002</v>
      </c>
      <c r="D4">
        <f>24.60304467</f>
        <v>24.603044669999999</v>
      </c>
      <c r="E4">
        <f>61.67248126</f>
        <v>61.672481259999998</v>
      </c>
      <c r="F4">
        <f>38.86481635</f>
        <v>38.864816349999998</v>
      </c>
      <c r="G4">
        <f>36.11576109</f>
        <v>36.115761089999999</v>
      </c>
      <c r="H4">
        <f>5.417039942</f>
        <v>5.4170399419999997</v>
      </c>
      <c r="I4">
        <f>41.53280104</f>
        <v>41.532801040000003</v>
      </c>
      <c r="J4">
        <f>157.25904</f>
        <v>157.25904</v>
      </c>
      <c r="K4">
        <f>5.1253289</f>
        <v>5.1253289000000004</v>
      </c>
      <c r="L4">
        <f>8319.0206</f>
        <v>8319.0205999999998</v>
      </c>
    </row>
    <row r="5" spans="1:12" x14ac:dyDescent="0.25">
      <c r="A5">
        <f>0.63</f>
        <v>0.63</v>
      </c>
      <c r="B5">
        <f>40.53448817</f>
        <v>40.534488170000003</v>
      </c>
      <c r="C5">
        <f>37.75719486</f>
        <v>37.757194859999998</v>
      </c>
      <c r="D5">
        <f>24.45014491</f>
        <v>24.450144909999999</v>
      </c>
      <c r="E5">
        <f>62.20733976</f>
        <v>62.207339760000004</v>
      </c>
      <c r="F5">
        <f>39.49166822</f>
        <v>39.491668220000001</v>
      </c>
      <c r="G5">
        <f>36.78582559</f>
        <v>36.785825590000002</v>
      </c>
      <c r="H5">
        <f>5.399104305</f>
        <v>5.3991043049999998</v>
      </c>
      <c r="I5">
        <f>42.1849299</f>
        <v>42.1849299</v>
      </c>
      <c r="J5">
        <f>155.24233</f>
        <v>155.24233000000001</v>
      </c>
      <c r="K5">
        <f>5.2074049</f>
        <v>5.2074049000000002</v>
      </c>
      <c r="L5">
        <f>8081.9819</f>
        <v>8081.9818999999998</v>
      </c>
    </row>
    <row r="6" spans="1:12" x14ac:dyDescent="0.25">
      <c r="A6">
        <f>0.64</f>
        <v>0.64</v>
      </c>
      <c r="B6">
        <f>41.17789275</f>
        <v>41.177892749999998</v>
      </c>
      <c r="C6">
        <f>38.4449981</f>
        <v>38.444998099999999</v>
      </c>
      <c r="D6">
        <f>24.29709128</f>
        <v>24.29709128</v>
      </c>
      <c r="E6">
        <f>62.74208938</f>
        <v>62.742089380000003</v>
      </c>
      <c r="F6">
        <f>40.1185201</f>
        <v>40.118520099999998</v>
      </c>
      <c r="G6">
        <f>37.45593391</f>
        <v>37.455933909999999</v>
      </c>
      <c r="H6">
        <f>5.381331658</f>
        <v>5.3813316579999997</v>
      </c>
      <c r="I6">
        <f>42.83726556</f>
        <v>42.837265559999999</v>
      </c>
      <c r="J6">
        <f>153.07481</f>
        <v>153.07481000000001</v>
      </c>
      <c r="K6">
        <f>5.2922397</f>
        <v>5.2922396999999997</v>
      </c>
      <c r="L6">
        <f>7844.6221</f>
        <v>7844.6220999999996</v>
      </c>
    </row>
    <row r="7" spans="1:12" x14ac:dyDescent="0.25">
      <c r="A7">
        <f>0.65</f>
        <v>0.65</v>
      </c>
      <c r="B7">
        <f>41.82129732</f>
        <v>41.821297319999999</v>
      </c>
      <c r="C7">
        <f>39.13285073</f>
        <v>39.132850730000001</v>
      </c>
      <c r="D7">
        <f>24.14386864</f>
        <v>24.143868640000001</v>
      </c>
      <c r="E7">
        <f>63.27671937</f>
        <v>63.276719370000002</v>
      </c>
      <c r="F7">
        <f>40.74537198</f>
        <v>40.745371980000002</v>
      </c>
      <c r="G7">
        <f>38.12609034</f>
        <v>38.126090339999998</v>
      </c>
      <c r="H7">
        <f>5.363729228</f>
        <v>5.3637292280000004</v>
      </c>
      <c r="I7">
        <f>43.48981956</f>
        <v>43.489819560000001</v>
      </c>
      <c r="J7">
        <f>150.7556</f>
        <v>150.75559999999999</v>
      </c>
      <c r="K7">
        <f>5.3799835</f>
        <v>5.3799834999999998</v>
      </c>
      <c r="L7">
        <f>7606.9118</f>
        <v>7606.9117999999999</v>
      </c>
    </row>
    <row r="8" spans="1:12" x14ac:dyDescent="0.25">
      <c r="A8">
        <f>0.66</f>
        <v>0.66</v>
      </c>
      <c r="B8">
        <f>42.4647019</f>
        <v>42.464701900000001</v>
      </c>
      <c r="C8">
        <f>39.82075778</f>
        <v>39.820757780000001</v>
      </c>
      <c r="D8">
        <f>23.99045974</f>
        <v>23.990459739999999</v>
      </c>
      <c r="E8">
        <f>63.81121752</f>
        <v>63.81121752</v>
      </c>
      <c r="F8">
        <f>41.37222385</f>
        <v>41.372223849999997</v>
      </c>
      <c r="G8">
        <f>38.79629978</f>
        <v>38.796299779999998</v>
      </c>
      <c r="H8">
        <f>5.346304669</f>
        <v>5.3463046690000002</v>
      </c>
      <c r="I8">
        <f>44.14260445</f>
        <v>44.14260445</v>
      </c>
      <c r="J8">
        <f>148.28373</f>
        <v>148.28372999999999</v>
      </c>
      <c r="K8">
        <f>5.4707987</f>
        <v>5.4707986999999996</v>
      </c>
      <c r="L8">
        <f>7368.818</f>
        <v>7368.8180000000002</v>
      </c>
    </row>
    <row r="9" spans="1:12" x14ac:dyDescent="0.25">
      <c r="A9">
        <f>0.67</f>
        <v>0.67</v>
      </c>
      <c r="B9">
        <f>43.10810647</f>
        <v>43.108106470000003</v>
      </c>
      <c r="C9">
        <f>40.50872497</f>
        <v>40.508724970000003</v>
      </c>
      <c r="D9">
        <f>23.83684487</f>
        <v>23.83684487</v>
      </c>
      <c r="E9">
        <f>64.34556983</f>
        <v>64.345569830000002</v>
      </c>
      <c r="F9">
        <f>41.99907573</f>
        <v>41.999075730000001</v>
      </c>
      <c r="G9">
        <f>39.46656782</f>
        <v>39.466567820000002</v>
      </c>
      <c r="H9">
        <f>5.32906609</f>
        <v>5.3290660900000004</v>
      </c>
      <c r="I9">
        <f>44.79563391</f>
        <v>44.795633909999999</v>
      </c>
      <c r="J9">
        <f>145.65806</f>
        <v>145.65806000000001</v>
      </c>
      <c r="K9">
        <f>5.5648618</f>
        <v>5.5648618000000001</v>
      </c>
      <c r="L9">
        <f>7130.3032</f>
        <v>7130.3032000000003</v>
      </c>
    </row>
    <row r="10" spans="1:12" x14ac:dyDescent="0.25">
      <c r="A10">
        <f>0.68</f>
        <v>0.68</v>
      </c>
      <c r="B10">
        <f>43.75151105</f>
        <v>43.751511049999998</v>
      </c>
      <c r="C10">
        <f>41.19675892</f>
        <v>41.196758920000001</v>
      </c>
      <c r="D10">
        <f>23.68300132</f>
        <v>23.683001319999999</v>
      </c>
      <c r="E10">
        <f>64.87976024</f>
        <v>64.879760239999996</v>
      </c>
      <c r="F10">
        <f>42.62592761</f>
        <v>42.625927609999998</v>
      </c>
      <c r="G10">
        <f>40.1369009</f>
        <v>40.136900900000001</v>
      </c>
      <c r="H10">
        <f>5.312022086</f>
        <v>5.3120220859999998</v>
      </c>
      <c r="I10">
        <f>45.44892299</f>
        <v>45.44892299</v>
      </c>
      <c r="J10">
        <f>142.87734</f>
        <v>142.87734</v>
      </c>
      <c r="K10">
        <f>5.6623644</f>
        <v>5.6623644000000004</v>
      </c>
      <c r="L10">
        <f>6891.3245</f>
        <v>6891.3244999999997</v>
      </c>
    </row>
    <row r="11" spans="1:12" x14ac:dyDescent="0.25">
      <c r="A11">
        <f>0.69</f>
        <v>0.69</v>
      </c>
      <c r="B11">
        <f>44.39491562</f>
        <v>44.394915619999999</v>
      </c>
      <c r="C11">
        <f>41.88486725</f>
        <v>41.884867249999999</v>
      </c>
      <c r="D11">
        <f>23.52890288</f>
        <v>23.52890288</v>
      </c>
      <c r="E11">
        <f>65.41377013</f>
        <v>65.413770130000003</v>
      </c>
      <c r="F11">
        <f>43.25277948</f>
        <v>43.252779480000001</v>
      </c>
      <c r="G11">
        <f>40.80730646</f>
        <v>40.80730646</v>
      </c>
      <c r="H11">
        <f>5.295181775</f>
        <v>5.2951817749999996</v>
      </c>
      <c r="I11">
        <f>46.10248824</f>
        <v>46.10248824</v>
      </c>
      <c r="J11">
        <f>139.94009</f>
        <v>139.94009</v>
      </c>
      <c r="K11">
        <f>5.7635159</f>
        <v>5.7635158999999998</v>
      </c>
      <c r="L11">
        <f>6651.8328</f>
        <v>6651.8328000000001</v>
      </c>
    </row>
    <row r="12" spans="1:12" x14ac:dyDescent="0.25">
      <c r="A12">
        <f>0.7</f>
        <v>0.7</v>
      </c>
      <c r="B12">
        <f>45.03832019</f>
        <v>45.03832019</v>
      </c>
      <c r="C12">
        <f>42.57305886</f>
        <v>42.573058860000003</v>
      </c>
      <c r="D12">
        <f>23.37451903</f>
        <v>23.374519029999998</v>
      </c>
      <c r="E12">
        <f>65.94757789</f>
        <v>65.947577890000005</v>
      </c>
      <c r="F12">
        <f>43.87963136</f>
        <v>43.879631359999998</v>
      </c>
      <c r="G12">
        <f>41.47779314</f>
        <v>41.477793140000003</v>
      </c>
      <c r="H12">
        <f>5.27855483</f>
        <v>5.27855483</v>
      </c>
      <c r="I12">
        <f>46.75634797</f>
        <v>46.75634797</v>
      </c>
      <c r="J12">
        <f>136.84464</f>
        <v>136.84464</v>
      </c>
      <c r="K12">
        <f>5.868546</f>
        <v>5.8685460000000003</v>
      </c>
      <c r="L12">
        <f>6411.7714</f>
        <v>6411.7713999999996</v>
      </c>
    </row>
    <row r="13" spans="1:12" x14ac:dyDescent="0.25">
      <c r="A13">
        <f>0.71</f>
        <v>0.71</v>
      </c>
      <c r="B13">
        <f>45.68172477</f>
        <v>45.681724770000002</v>
      </c>
      <c r="C13">
        <f>43.26134412</f>
        <v>43.261344119999997</v>
      </c>
      <c r="D13">
        <f>23.21981404</f>
        <v>23.219814039999999</v>
      </c>
      <c r="E13">
        <f>66.48115816</f>
        <v>66.481158160000007</v>
      </c>
      <c r="F13">
        <f>44.50648324</f>
        <v>44.506483240000001</v>
      </c>
      <c r="G13">
        <f>42.14837108</f>
        <v>42.148371079999997</v>
      </c>
      <c r="H13">
        <f>5.262151517</f>
        <v>5.2621515170000004</v>
      </c>
      <c r="I13">
        <f>47.41052259</f>
        <v>47.410522589999999</v>
      </c>
      <c r="J13">
        <f>133.58905</f>
        <v>133.58904999999999</v>
      </c>
      <c r="K13">
        <f>5.9777071</f>
        <v>5.9777070999999999</v>
      </c>
      <c r="L13">
        <f>6171.0743</f>
        <v>6171.0743000000002</v>
      </c>
    </row>
    <row r="14" spans="1:12" x14ac:dyDescent="0.25">
      <c r="A14">
        <f>0.72</f>
        <v>0.72</v>
      </c>
      <c r="B14">
        <f>46.32512934</f>
        <v>46.325129339999997</v>
      </c>
      <c r="C14">
        <f>43.94973531</f>
        <v>43.949735310000001</v>
      </c>
      <c r="D14">
        <f>23.06474575</f>
        <v>23.06474575</v>
      </c>
      <c r="E14">
        <f>67.01448106</f>
        <v>67.014481059999994</v>
      </c>
      <c r="F14">
        <f>45.13333511</f>
        <v>45.133335109999997</v>
      </c>
      <c r="G14">
        <f>42.81905221</f>
        <v>42.819052210000002</v>
      </c>
      <c r="H14">
        <f>5.245982734</f>
        <v>5.245982734</v>
      </c>
      <c r="I14">
        <f>48.06503494</f>
        <v>48.065034939999997</v>
      </c>
      <c r="J14">
        <f>130.17103</f>
        <v>130.17103</v>
      </c>
      <c r="K14">
        <f>6.0912786</f>
        <v>6.0912785999999999</v>
      </c>
      <c r="L14">
        <f>5929.6646</f>
        <v>5929.6646000000001</v>
      </c>
    </row>
    <row r="15" spans="1:12" x14ac:dyDescent="0.25">
      <c r="A15">
        <f>0.73</f>
        <v>0.73</v>
      </c>
      <c r="B15">
        <f>46.96853392</f>
        <v>46.968533919999999</v>
      </c>
      <c r="C15">
        <f>44.638247</f>
        <v>44.638247</v>
      </c>
      <c r="D15">
        <f>22.909264</f>
        <v>22.909264</v>
      </c>
      <c r="E15">
        <f>67.547511</f>
        <v>67.547511</v>
      </c>
      <c r="F15">
        <f>45.76018699</f>
        <v>45.760186990000001</v>
      </c>
      <c r="G15">
        <f>43.48985074</f>
        <v>43.489850740000001</v>
      </c>
      <c r="H15">
        <f>5.230060036</f>
        <v>5.2300600360000002</v>
      </c>
      <c r="I15">
        <f>48.71991078</f>
        <v>48.719910779999999</v>
      </c>
      <c r="J15">
        <f>126.58793</f>
        <v>126.58793</v>
      </c>
      <c r="K15">
        <f>6.2095714</f>
        <v>6.2095713999999997</v>
      </c>
      <c r="L15">
        <f>5687.4515</f>
        <v>5687.4515000000001</v>
      </c>
    </row>
    <row r="16" spans="1:12" x14ac:dyDescent="0.25">
      <c r="A16">
        <f>0.74</f>
        <v>0.74</v>
      </c>
      <c r="B16">
        <f>47.61193849</f>
        <v>47.61193849</v>
      </c>
      <c r="C16">
        <f>45.32689667</f>
        <v>45.326896669999996</v>
      </c>
      <c r="D16">
        <f>22.75330871</f>
        <v>22.753308709999999</v>
      </c>
      <c r="E16">
        <f>68.08020538</f>
        <v>68.080205379999995</v>
      </c>
      <c r="F16">
        <f>46.38703887</f>
        <v>46.387038869999998</v>
      </c>
      <c r="G16">
        <f>44.16078371</f>
        <v>44.160783709999997</v>
      </c>
      <c r="H16">
        <f>5.214395715</f>
        <v>5.2143957150000002</v>
      </c>
      <c r="I16">
        <f>49.37517942</f>
        <v>49.375179420000002</v>
      </c>
      <c r="J16">
        <f>122.83656</f>
        <v>122.83656000000001</v>
      </c>
      <c r="K16">
        <f>6.3329334</f>
        <v>6.3329333999999999</v>
      </c>
      <c r="L16">
        <f>5444.327</f>
        <v>5444.3270000000002</v>
      </c>
    </row>
    <row r="17" spans="1:12" x14ac:dyDescent="0.25">
      <c r="A17">
        <f>0.75</f>
        <v>0.75</v>
      </c>
      <c r="B17">
        <f>48.25534306</f>
        <v>48.255343060000001</v>
      </c>
      <c r="C17">
        <f>46.01570552</f>
        <v>46.015705519999997</v>
      </c>
      <c r="D17">
        <f>22.59680694</f>
        <v>22.59680694</v>
      </c>
      <c r="E17">
        <f>68.61251246</f>
        <v>68.612512460000005</v>
      </c>
      <c r="F17">
        <f>47.01389074</f>
        <v>47.013890740000001</v>
      </c>
      <c r="G17">
        <f>44.83187176</f>
        <v>44.831871759999999</v>
      </c>
      <c r="H17">
        <f>5.199002768</f>
        <v>5.1990027679999997</v>
      </c>
      <c r="I17">
        <f>50.03087453</f>
        <v>50.030874529999998</v>
      </c>
      <c r="J17">
        <f>118.91313</f>
        <v>118.91313</v>
      </c>
      <c r="K17">
        <f>6.461757</f>
        <v>6.4617570000000004</v>
      </c>
      <c r="L17">
        <f>5200.1616</f>
        <v>5200.1616000000004</v>
      </c>
    </row>
    <row r="18" spans="1:12" x14ac:dyDescent="0.25">
      <c r="A18">
        <f>0.76</f>
        <v>0.76</v>
      </c>
      <c r="B18">
        <f>48.89874764</f>
        <v>48.898747640000003</v>
      </c>
      <c r="C18">
        <f>46.70469952</f>
        <v>46.704699519999998</v>
      </c>
      <c r="D18">
        <f>22.43966934</f>
        <v>22.439669339999998</v>
      </c>
      <c r="E18">
        <f>69.14436886</f>
        <v>69.14436886</v>
      </c>
      <c r="F18">
        <f>47.64074262</f>
        <v>47.640742619999997</v>
      </c>
      <c r="G18">
        <f>45.5031402</f>
        <v>45.503140199999997</v>
      </c>
      <c r="H18">
        <f>5.183894959</f>
        <v>5.1838949589999999</v>
      </c>
      <c r="I18">
        <f>50.68703515</f>
        <v>50.68703515</v>
      </c>
      <c r="J18">
        <f>114.81305</f>
        <v>114.81305</v>
      </c>
      <c r="K18">
        <f>6.5964891</f>
        <v>6.5964891000000003</v>
      </c>
      <c r="L18">
        <f>4954.798</f>
        <v>4954.7979999999998</v>
      </c>
    </row>
    <row r="19" spans="1:12" x14ac:dyDescent="0.25">
      <c r="A19">
        <f>0.77</f>
        <v>0.77</v>
      </c>
      <c r="B19">
        <f>49.54215221</f>
        <v>49.542152209999998</v>
      </c>
      <c r="C19">
        <f>47.39391092</f>
        <v>47.393910920000003</v>
      </c>
      <c r="D19">
        <f>22.28178496</f>
        <v>22.28178496</v>
      </c>
      <c r="E19">
        <f>69.67569588</f>
        <v>69.675695880000006</v>
      </c>
      <c r="F19">
        <f>48.2675945</f>
        <v>48.267594500000001</v>
      </c>
      <c r="G19">
        <f>46.17462043</f>
        <v>46.174620429999997</v>
      </c>
      <c r="H19">
        <f>5.169086813</f>
        <v>5.1690868129999998</v>
      </c>
      <c r="I19">
        <f>51.34370724</f>
        <v>51.343707240000001</v>
      </c>
      <c r="J19">
        <f>110.53069</f>
        <v>110.53069000000001</v>
      </c>
      <c r="K19">
        <f>6.7376434</f>
        <v>6.7376433999999996</v>
      </c>
      <c r="L19">
        <f>4708.0431</f>
        <v>4708.0430999999999</v>
      </c>
    </row>
    <row r="20" spans="1:12" x14ac:dyDescent="0.25">
      <c r="A20">
        <f>0.78</f>
        <v>0.78</v>
      </c>
      <c r="B20">
        <f>50.18555679</f>
        <v>50.18555679</v>
      </c>
      <c r="C20">
        <f>48.08338031</f>
        <v>48.083380310000003</v>
      </c>
      <c r="D20">
        <f>22.12301402</f>
        <v>22.123014019999999</v>
      </c>
      <c r="E20">
        <f>70.20639433</f>
        <v>70.206394329999995</v>
      </c>
      <c r="F20">
        <f>48.89444637</f>
        <v>48.894446369999997</v>
      </c>
      <c r="G20">
        <f>46.84635203</f>
        <v>46.846352029999998</v>
      </c>
      <c r="H20">
        <f>5.15459359</f>
        <v>5.1545935900000002</v>
      </c>
      <c r="I20">
        <f>52.00094562</f>
        <v>52.000945620000003</v>
      </c>
      <c r="J20">
        <f>106.05904</f>
        <v>106.05904</v>
      </c>
      <c r="K20">
        <f>6.8858188</f>
        <v>6.8858188</v>
      </c>
      <c r="L20">
        <f>4459.6561</f>
        <v>4459.6561000000002</v>
      </c>
    </row>
    <row r="21" spans="1:12" x14ac:dyDescent="0.25">
      <c r="A21">
        <f>0.79</f>
        <v>0.79</v>
      </c>
      <c r="B21">
        <f>50.82896136</f>
        <v>50.828961360000001</v>
      </c>
      <c r="C21">
        <f>48.77315977</f>
        <v>48.773159769999999</v>
      </c>
      <c r="D21">
        <f>21.96317734</f>
        <v>21.963177340000001</v>
      </c>
      <c r="E21">
        <f>70.7363371</f>
        <v>70.7363371</v>
      </c>
      <c r="F21">
        <f>49.52129825</f>
        <v>49.521298250000001</v>
      </c>
      <c r="G21">
        <f>47.51838571</f>
        <v>47.518385709999997</v>
      </c>
      <c r="H21">
        <f>5.140431204</f>
        <v>5.1404312040000004</v>
      </c>
      <c r="I21">
        <f>52.65881692</f>
        <v>52.65881692</v>
      </c>
      <c r="J21">
        <f>101.38927</f>
        <v>101.38927</v>
      </c>
      <c r="K21">
        <f>7.041724</f>
        <v>7.0417240000000003</v>
      </c>
      <c r="L21">
        <f>4209.3319</f>
        <v>4209.3319000000001</v>
      </c>
    </row>
    <row r="22" spans="1:12" x14ac:dyDescent="0.25">
      <c r="A22">
        <f>0.8</f>
        <v>0.8</v>
      </c>
      <c r="B22">
        <f>51.47236594</f>
        <v>51.472365940000003</v>
      </c>
      <c r="C22">
        <f>49.46331735</f>
        <v>49.463317349999997</v>
      </c>
      <c r="D22">
        <f>21.80204058</f>
        <v>21.80204058</v>
      </c>
      <c r="E22">
        <f>71.26535792</f>
        <v>71.26535792</v>
      </c>
      <c r="F22">
        <f>50.14815013</f>
        <v>50.148150129999998</v>
      </c>
      <c r="G22">
        <f>48.1907878</f>
        <v>48.190787800000003</v>
      </c>
      <c r="H22">
        <f>5.126616054</f>
        <v>5.1266160540000003</v>
      </c>
      <c r="I22">
        <f>53.31740385</f>
        <v>53.317403849999998</v>
      </c>
      <c r="J22">
        <f>96.509983</f>
        <v>96.509983000000005</v>
      </c>
      <c r="K22">
        <f>7.2062138</f>
        <v>7.2062137999999996</v>
      </c>
      <c r="L22">
        <f>3956.6763</f>
        <v>3956.6763000000001</v>
      </c>
    </row>
    <row r="23" spans="1:12" x14ac:dyDescent="0.25">
      <c r="A23">
        <f>0.81</f>
        <v>0.81</v>
      </c>
      <c r="B23">
        <f>52.11577051</f>
        <v>52.115770509999997</v>
      </c>
      <c r="C23">
        <f>50.15394423</f>
        <v>50.15394423</v>
      </c>
      <c r="D23">
        <f>21.63928982</f>
        <v>21.639289819999998</v>
      </c>
      <c r="E23">
        <f>71.79323405</f>
        <v>71.793234049999995</v>
      </c>
      <c r="F23">
        <f>50.775002</f>
        <v>50.775002000000001</v>
      </c>
      <c r="G23">
        <f>48.8636471</f>
        <v>48.863647100000001</v>
      </c>
      <c r="H23">
        <f>5.113164682</f>
        <v>5.1131646819999998</v>
      </c>
      <c r="I23">
        <f>53.97681179</f>
        <v>53.976811789999999</v>
      </c>
      <c r="J23">
        <f>91.406175</f>
        <v>91.406175000000005</v>
      </c>
      <c r="K23">
        <f>7.380344</f>
        <v>7.380344</v>
      </c>
      <c r="L23">
        <f>3701.1679</f>
        <v>3701.1678999999999</v>
      </c>
    </row>
    <row r="24" spans="1:12" x14ac:dyDescent="0.25">
      <c r="A24">
        <f>0.82</f>
        <v>0.82</v>
      </c>
      <c r="B24">
        <f>52.75917508</f>
        <v>52.759175079999999</v>
      </c>
      <c r="C24">
        <f>50.84516346</f>
        <v>50.845163460000002</v>
      </c>
      <c r="D24">
        <f>21.47450136</f>
        <v>21.474501360000001</v>
      </c>
      <c r="E24">
        <f>72.31966482</f>
        <v>72.31966482</v>
      </c>
      <c r="F24">
        <f>51.40185388</f>
        <v>51.401853879999997</v>
      </c>
      <c r="G24">
        <f>49.53708352</f>
        <v>49.537083520000003</v>
      </c>
      <c r="H24">
        <f>5.100093851</f>
        <v>5.1000938509999996</v>
      </c>
      <c r="I24">
        <f>54.63717737</f>
        <v>54.637177370000003</v>
      </c>
      <c r="J24">
        <f>86.061395</f>
        <v>86.061395000000005</v>
      </c>
      <c r="K24">
        <f>7.5654479</f>
        <v>7.5654478999999997</v>
      </c>
      <c r="L24">
        <f>3442.2531</f>
        <v>3442.2530999999999</v>
      </c>
    </row>
    <row r="25" spans="1:12" x14ac:dyDescent="0.25">
      <c r="A25">
        <f>0.83</f>
        <v>0.83</v>
      </c>
      <c r="B25">
        <f>53.40257966</f>
        <v>53.402579660000001</v>
      </c>
      <c r="C25">
        <f>51.53716036</f>
        <v>51.537160360000001</v>
      </c>
      <c r="D25">
        <f>21.30703698</f>
        <v>21.307036979999999</v>
      </c>
      <c r="E25">
        <f>72.84419734</f>
        <v>72.844197339999994</v>
      </c>
      <c r="F25">
        <f>52.02870576</f>
        <v>52.028705760000001</v>
      </c>
      <c r="G25">
        <f>50.2112776</f>
        <v>50.211277600000003</v>
      </c>
      <c r="H25">
        <f>5.087416371</f>
        <v>5.0874163709999998</v>
      </c>
      <c r="I25">
        <f>55.29869397</f>
        <v>55.298693970000002</v>
      </c>
      <c r="J25">
        <f>80.438792</f>
        <v>80.438792000000007</v>
      </c>
      <c r="K25">
        <f>7.763324</f>
        <v>7.7633239999999999</v>
      </c>
      <c r="L25">
        <f>3178.5989</f>
        <v>3178.5989</v>
      </c>
    </row>
    <row r="26" spans="1:12" x14ac:dyDescent="0.25">
      <c r="A26">
        <f>0.84</f>
        <v>0.84</v>
      </c>
      <c r="B26">
        <f>54.04598423</f>
        <v>54.045984230000002</v>
      </c>
      <c r="C26">
        <f>52.23020218</f>
        <v>52.230202179999999</v>
      </c>
      <c r="D26">
        <f>21.13597622</f>
        <v>21.13597622</v>
      </c>
      <c r="E26">
        <f>73.3661784</f>
        <v>73.366178399999995</v>
      </c>
      <c r="F26">
        <f>52.65555763</f>
        <v>52.655557629999997</v>
      </c>
      <c r="G26">
        <f>50.88648972</f>
        <v>50.88648972</v>
      </c>
      <c r="H26">
        <f>5.075143007</f>
        <v>5.0751430070000003</v>
      </c>
      <c r="I26">
        <f>55.96163273</f>
        <v>55.961632729999998</v>
      </c>
      <c r="J26">
        <f>74.50075</f>
        <v>74.500749999999996</v>
      </c>
      <c r="K26">
        <f>7.9764357</f>
        <v>7.9764356999999997</v>
      </c>
      <c r="L26">
        <f>2908.9056</f>
        <v>2908.9056</v>
      </c>
    </row>
    <row r="27" spans="1:12" x14ac:dyDescent="0.25">
      <c r="A27">
        <f>0.85</f>
        <v>0.85</v>
      </c>
      <c r="B27">
        <f>54.68938881</f>
        <v>54.689388809999997</v>
      </c>
      <c r="C27">
        <f>52.92472023</f>
        <v>52.924720229999998</v>
      </c>
      <c r="D27">
        <f>20.9598335</f>
        <v>20.959833499999998</v>
      </c>
      <c r="E27">
        <f>73.88455373</f>
        <v>73.884553729999993</v>
      </c>
      <c r="F27">
        <f>53.28240951</f>
        <v>53.282409510000001</v>
      </c>
      <c r="G27">
        <f>51.56314009</f>
        <v>51.563140089999997</v>
      </c>
      <c r="H27">
        <f>5.063274154</f>
        <v>5.0632741540000001</v>
      </c>
      <c r="I27">
        <f>56.62641424</f>
        <v>56.626414240000003</v>
      </c>
      <c r="J27">
        <f>68.181715</f>
        <v>68.181714999999997</v>
      </c>
      <c r="K27">
        <f>8.2084687</f>
        <v>8.2084686999999992</v>
      </c>
      <c r="L27">
        <f>2630.8572</f>
        <v>2630.8571999999999</v>
      </c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"/>
  <sheetViews>
    <sheetView workbookViewId="0">
      <selection activeCell="K6" sqref="K6"/>
    </sheetView>
  </sheetViews>
  <sheetFormatPr defaultRowHeight="15" x14ac:dyDescent="0.25"/>
  <sheetData>
    <row r="1" spans="1:12" x14ac:dyDescent="0.2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4" t="s">
        <v>10</v>
      </c>
      <c r="L1" s="14" t="s">
        <v>11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workbookViewId="0">
      <selection activeCell="Q2" sqref="Q2:Q27"/>
    </sheetView>
  </sheetViews>
  <sheetFormatPr defaultRowHeight="15" x14ac:dyDescent="0.25"/>
  <sheetData>
    <row r="1" spans="1:17" x14ac:dyDescent="0.25">
      <c r="B1">
        <v>0.7</v>
      </c>
      <c r="C1">
        <v>0.71</v>
      </c>
      <c r="D1">
        <v>0.72</v>
      </c>
      <c r="E1">
        <v>0.73</v>
      </c>
      <c r="F1">
        <v>0.74</v>
      </c>
      <c r="G1">
        <v>0.75</v>
      </c>
      <c r="H1">
        <v>0.76</v>
      </c>
      <c r="I1">
        <v>0.77</v>
      </c>
      <c r="J1">
        <v>0.78</v>
      </c>
      <c r="K1">
        <v>0.79</v>
      </c>
      <c r="L1">
        <v>0.8</v>
      </c>
      <c r="M1">
        <v>0.81</v>
      </c>
      <c r="N1">
        <v>0.82</v>
      </c>
      <c r="O1">
        <v>0.83</v>
      </c>
      <c r="P1">
        <v>0.84</v>
      </c>
      <c r="Q1">
        <v>0.85</v>
      </c>
    </row>
    <row r="2" spans="1:17" x14ac:dyDescent="0.25">
      <c r="A2">
        <f>'FU 0.7'!A2</f>
        <v>0.6</v>
      </c>
      <c r="B2" s="15">
        <f>'FU 0.7'!$D2</f>
        <v>37.5670407</v>
      </c>
      <c r="C2" s="15">
        <f>(B2+D2)/2</f>
        <v>36.662903604999997</v>
      </c>
      <c r="D2" s="15">
        <f>'FU 0.72'!$D2</f>
        <v>35.758766510000001</v>
      </c>
      <c r="E2" s="15">
        <f>'FU 0.73'!$D2</f>
        <v>34.854619239999998</v>
      </c>
      <c r="F2" s="15">
        <f>'FU 0.74'!$D2</f>
        <v>33.950464789999998</v>
      </c>
      <c r="G2" s="15">
        <f>'FU 0.75'!$D2</f>
        <v>33.04630281</v>
      </c>
      <c r="H2" s="15">
        <f>'FU 0.76'!$D2</f>
        <v>32.142132949999997</v>
      </c>
      <c r="I2" s="15">
        <f>'FU 0.77'!$D2</f>
        <v>31.237954819999999</v>
      </c>
      <c r="J2" s="15">
        <f>'FU 0.78'!$D2</f>
        <v>30.333767999999999</v>
      </c>
      <c r="K2" s="15">
        <f>'FU 0.79'!$D2</f>
        <v>29.429572019999998</v>
      </c>
      <c r="L2" s="15">
        <f>'FU 0.8'!$D2</f>
        <v>28.52536637</v>
      </c>
      <c r="M2" s="15">
        <f>'FU 0.81'!$D2</f>
        <v>27.62115047</v>
      </c>
      <c r="N2" s="15">
        <f>'FU 0.82'!$D2</f>
        <v>26.716923699999999</v>
      </c>
      <c r="O2" s="15">
        <f>'FU 0.83'!$D2</f>
        <v>25.81268532</v>
      </c>
      <c r="P2" s="15">
        <f>'FU 0.84'!$D2</f>
        <v>24.908434549999999</v>
      </c>
      <c r="Q2" s="15">
        <f>P2+P2-O2</f>
        <v>24.004183779999998</v>
      </c>
    </row>
    <row r="3" spans="1:17" x14ac:dyDescent="0.25">
      <c r="A3">
        <f>'FU 0.7'!A3</f>
        <v>0.61</v>
      </c>
      <c r="B3" s="15">
        <f>'FU 0.7'!$D3</f>
        <v>37.440028030000001</v>
      </c>
      <c r="C3" s="15">
        <f t="shared" ref="C3:C27" si="0">(B3+D3)/2</f>
        <v>36.534064380000004</v>
      </c>
      <c r="D3" s="15">
        <f>'FU 0.72'!$D3</f>
        <v>35.62810073</v>
      </c>
      <c r="E3" s="15">
        <f>'FU 0.73'!$D3</f>
        <v>34.722126240000001</v>
      </c>
      <c r="F3" s="15">
        <f>'FU 0.74'!$D3</f>
        <v>33.81614407</v>
      </c>
      <c r="G3" s="15">
        <f>'FU 0.75'!$D3</f>
        <v>32.910153889999997</v>
      </c>
      <c r="H3" s="15">
        <f>'FU 0.76'!$D3</f>
        <v>32.004155300000001</v>
      </c>
      <c r="I3" s="15">
        <f>'FU 0.77'!$D3</f>
        <v>31.098147879999999</v>
      </c>
      <c r="J3" s="15">
        <f>'FU 0.78'!$D3</f>
        <v>30.192131190000001</v>
      </c>
      <c r="K3" s="15">
        <f>'FU 0.79'!$D3</f>
        <v>29.286104720000001</v>
      </c>
      <c r="L3" s="15">
        <f>'FU 0.8'!$D3</f>
        <v>28.380067919999998</v>
      </c>
      <c r="M3" s="15">
        <f>'FU 0.81'!$D3</f>
        <v>27.474020169999999</v>
      </c>
      <c r="N3" s="15">
        <f>'FU 0.82'!$D3</f>
        <v>26.56796078</v>
      </c>
      <c r="O3" s="15">
        <f>'FU 0.83'!$D3</f>
        <v>25.661888999999999</v>
      </c>
      <c r="P3" s="15">
        <f>'FU 0.84'!$D3</f>
        <v>24.75580394</v>
      </c>
      <c r="Q3" s="15">
        <f t="shared" ref="Q3:Q27" si="1">P3+P3-O3</f>
        <v>23.849718880000001</v>
      </c>
    </row>
    <row r="4" spans="1:17" x14ac:dyDescent="0.25">
      <c r="A4">
        <f>'FU 0.7'!A4</f>
        <v>0.62</v>
      </c>
      <c r="B4" s="15">
        <f>'FU 0.7'!$D4</f>
        <v>37.312923810000001</v>
      </c>
      <c r="C4" s="15">
        <f t="shared" si="0"/>
        <v>36.405131300000001</v>
      </c>
      <c r="D4" s="15">
        <f>'FU 0.72'!$D4</f>
        <v>35.497338790000001</v>
      </c>
      <c r="E4" s="15">
        <f>'FU 0.73'!$D4</f>
        <v>34.589534690000001</v>
      </c>
      <c r="F4" s="15">
        <f>'FU 0.74'!$D4</f>
        <v>33.681722389999997</v>
      </c>
      <c r="G4" s="15">
        <f>'FU 0.75'!$D4</f>
        <v>32.773901530000003</v>
      </c>
      <c r="H4" s="15">
        <f>'FU 0.76'!$D4</f>
        <v>31.866071680000001</v>
      </c>
      <c r="I4" s="15">
        <f>'FU 0.77'!$D4</f>
        <v>30.958232389999999</v>
      </c>
      <c r="J4" s="15">
        <f>'FU 0.78'!$D4</f>
        <v>30.050383180000001</v>
      </c>
      <c r="K4" s="15">
        <f>'FU 0.79'!$D4</f>
        <v>29.142523499999999</v>
      </c>
      <c r="L4" s="15">
        <f>'FU 0.8'!$D4</f>
        <v>28.234652759999999</v>
      </c>
      <c r="M4" s="15">
        <f>'FU 0.81'!$D4</f>
        <v>27.3267703</v>
      </c>
      <c r="N4" s="15">
        <f>'FU 0.82'!$D4</f>
        <v>26.418875369999999</v>
      </c>
      <c r="O4" s="15">
        <f>'FU 0.83'!$D4</f>
        <v>25.510967149999999</v>
      </c>
      <c r="P4" s="15">
        <f>'FU 0.84'!$D4</f>
        <v>24.603044669999999</v>
      </c>
      <c r="Q4" s="15">
        <f t="shared" si="1"/>
        <v>23.695122189999999</v>
      </c>
    </row>
    <row r="5" spans="1:17" x14ac:dyDescent="0.25">
      <c r="A5">
        <f>'FU 0.7'!A5</f>
        <v>0.63</v>
      </c>
      <c r="B5" s="15">
        <f>'FU 0.7'!$D5</f>
        <v>37.185720119999999</v>
      </c>
      <c r="C5" s="15">
        <f t="shared" si="0"/>
        <v>36.276096214999995</v>
      </c>
      <c r="D5" s="15">
        <f>'FU 0.72'!$D5</f>
        <v>35.366472309999999</v>
      </c>
      <c r="E5" s="15">
        <f>'FU 0.73'!$D5</f>
        <v>34.456835990000002</v>
      </c>
      <c r="F5" s="15">
        <f>'FU 0.74'!$D5</f>
        <v>33.547190899999997</v>
      </c>
      <c r="G5" s="15">
        <f>'FU 0.75'!$D5</f>
        <v>32.63753663</v>
      </c>
      <c r="H5" s="15">
        <f>'FU 0.76'!$D5</f>
        <v>31.727872720000001</v>
      </c>
      <c r="I5" s="15">
        <f>'FU 0.77'!$D5</f>
        <v>30.818198710000001</v>
      </c>
      <c r="J5" s="15">
        <f>'FU 0.78'!$D5</f>
        <v>29.90851404</v>
      </c>
      <c r="K5" s="15">
        <f>'FU 0.79'!$D5</f>
        <v>28.998818159999999</v>
      </c>
      <c r="L5" s="15">
        <f>'FU 0.8'!$D5</f>
        <v>28.089110399999999</v>
      </c>
      <c r="M5" s="15">
        <f>'FU 0.81'!$D5</f>
        <v>27.179390049999999</v>
      </c>
      <c r="N5" s="15">
        <f>'FU 0.82'!$D5</f>
        <v>26.269656309999998</v>
      </c>
      <c r="O5" s="15">
        <f>'FU 0.83'!$D5</f>
        <v>25.359908269999998</v>
      </c>
      <c r="P5" s="15">
        <f>'FU 0.84'!$D5</f>
        <v>24.450144909999999</v>
      </c>
      <c r="Q5" s="15">
        <f t="shared" si="1"/>
        <v>23.540381549999999</v>
      </c>
    </row>
    <row r="6" spans="1:17" x14ac:dyDescent="0.25">
      <c r="A6">
        <f>'FU 0.7'!A6</f>
        <v>0.64</v>
      </c>
      <c r="B6" s="15">
        <f>'FU 0.7'!$D6</f>
        <v>37.058408129999997</v>
      </c>
      <c r="C6" s="15">
        <f t="shared" si="0"/>
        <v>36.146950029999999</v>
      </c>
      <c r="D6" s="15">
        <f>'FU 0.72'!$D6</f>
        <v>35.235491930000002</v>
      </c>
      <c r="E6" s="15">
        <f>'FU 0.73'!$D6</f>
        <v>34.324020500000003</v>
      </c>
      <c r="F6" s="15">
        <f>'FU 0.74'!$D6</f>
        <v>33.41253966</v>
      </c>
      <c r="G6" s="15">
        <f>'FU 0.75'!$D6</f>
        <v>32.501048959999999</v>
      </c>
      <c r="H6" s="15">
        <f>'FU 0.76'!$D6</f>
        <v>31.58954791</v>
      </c>
      <c r="I6" s="15">
        <f>'FU 0.77'!$D6</f>
        <v>30.678035990000001</v>
      </c>
      <c r="J6" s="15">
        <f>'FU 0.78'!$D6</f>
        <v>29.766512630000001</v>
      </c>
      <c r="K6" s="15">
        <f>'FU 0.79'!$D6</f>
        <v>28.85497719</v>
      </c>
      <c r="L6" s="15">
        <f>'FU 0.8'!$D6</f>
        <v>27.94342898</v>
      </c>
      <c r="M6" s="15">
        <f>'FU 0.81'!$D6</f>
        <v>27.031867219999999</v>
      </c>
      <c r="N6" s="15">
        <f>'FU 0.82'!$D6</f>
        <v>26.120291030000001</v>
      </c>
      <c r="O6" s="15">
        <f>'FU 0.83'!$D6</f>
        <v>25.208699419999999</v>
      </c>
      <c r="P6" s="15">
        <f>'FU 0.84'!$D6</f>
        <v>24.29709128</v>
      </c>
      <c r="Q6" s="15">
        <f t="shared" si="1"/>
        <v>23.385483140000002</v>
      </c>
    </row>
    <row r="7" spans="1:17" x14ac:dyDescent="0.25">
      <c r="A7">
        <f>'FU 0.7'!A7</f>
        <v>0.65</v>
      </c>
      <c r="B7" s="15">
        <f>'FU 0.7'!$D7</f>
        <v>36.930977900000002</v>
      </c>
      <c r="C7" s="15">
        <f t="shared" si="0"/>
        <v>36.017682499999999</v>
      </c>
      <c r="D7" s="15">
        <f>'FU 0.72'!$D7</f>
        <v>35.104387099999997</v>
      </c>
      <c r="E7" s="15">
        <f>'FU 0.73'!$D7</f>
        <v>34.191077360000001</v>
      </c>
      <c r="F7" s="15">
        <f>'FU 0.74'!$D7</f>
        <v>33.277757489999999</v>
      </c>
      <c r="G7" s="15">
        <f>'FU 0.75'!$D7</f>
        <v>32.364426999999999</v>
      </c>
      <c r="H7" s="15">
        <f>'FU 0.76'!$D7</f>
        <v>31.45108536</v>
      </c>
      <c r="I7" s="15">
        <f>'FU 0.77'!$D7</f>
        <v>30.53773202</v>
      </c>
      <c r="J7" s="15">
        <f>'FU 0.78'!$D7</f>
        <v>29.624366340000002</v>
      </c>
      <c r="K7" s="15">
        <f>'FU 0.79'!$D7</f>
        <v>28.710987630000002</v>
      </c>
      <c r="L7" s="15">
        <f>'FU 0.8'!$D7</f>
        <v>27.797595139999999</v>
      </c>
      <c r="M7" s="15">
        <f>'FU 0.81'!$D7</f>
        <v>26.88418802</v>
      </c>
      <c r="N7" s="15">
        <f>'FU 0.82'!$D7</f>
        <v>25.9707653</v>
      </c>
      <c r="O7" s="15">
        <f>'FU 0.83'!$D7</f>
        <v>25.05732592</v>
      </c>
      <c r="P7" s="15">
        <f>'FU 0.84'!$D7</f>
        <v>24.143868640000001</v>
      </c>
      <c r="Q7" s="15">
        <f t="shared" si="1"/>
        <v>23.230411360000002</v>
      </c>
    </row>
    <row r="8" spans="1:17" x14ac:dyDescent="0.25">
      <c r="A8">
        <f>'FU 0.7'!A8</f>
        <v>0.66</v>
      </c>
      <c r="B8" s="15">
        <f>'FU 0.7'!$D8</f>
        <v>36.803418209999997</v>
      </c>
      <c r="C8" s="15">
        <f t="shared" si="0"/>
        <v>35.888282064999999</v>
      </c>
      <c r="D8" s="15">
        <f>'FU 0.72'!$D8</f>
        <v>34.97314592</v>
      </c>
      <c r="E8" s="15">
        <f>'FU 0.73'!$D8</f>
        <v>34.057994299999997</v>
      </c>
      <c r="F8" s="15">
        <f>'FU 0.74'!$D8</f>
        <v>33.142831749999999</v>
      </c>
      <c r="G8" s="15">
        <f>'FU 0.75'!$D8</f>
        <v>32.227657720000003</v>
      </c>
      <c r="H8" s="15">
        <f>'FU 0.76'!$D8</f>
        <v>31.31247166</v>
      </c>
      <c r="I8" s="15">
        <f>'FU 0.77'!$D8</f>
        <v>30.397272950000001</v>
      </c>
      <c r="J8" s="15">
        <f>'FU 0.78'!$D8</f>
        <v>29.4820609</v>
      </c>
      <c r="K8" s="15">
        <f>'FU 0.79'!$D8</f>
        <v>28.566834759999999</v>
      </c>
      <c r="L8" s="15">
        <f>'FU 0.8'!$D8</f>
        <v>27.651593699999999</v>
      </c>
      <c r="M8" s="15">
        <f>'FU 0.81'!$D8</f>
        <v>26.736336789999999</v>
      </c>
      <c r="N8" s="15">
        <f>'FU 0.82'!$D8</f>
        <v>25.82106297</v>
      </c>
      <c r="O8" s="15">
        <f>'FU 0.83'!$D8</f>
        <v>24.905771080000001</v>
      </c>
      <c r="P8" s="15">
        <f>'FU 0.84'!$D8</f>
        <v>23.990459739999999</v>
      </c>
      <c r="Q8" s="15">
        <f t="shared" si="1"/>
        <v>23.075148399999996</v>
      </c>
    </row>
    <row r="9" spans="1:17" x14ac:dyDescent="0.25">
      <c r="A9">
        <f>'FU 0.7'!A9</f>
        <v>0.67</v>
      </c>
      <c r="B9" s="15">
        <f>'FU 0.7'!$D9</f>
        <v>36.675716379999997</v>
      </c>
      <c r="C9" s="15">
        <f t="shared" si="0"/>
        <v>35.758735634999994</v>
      </c>
      <c r="D9" s="15">
        <f>'FU 0.72'!$D9</f>
        <v>34.841754889999997</v>
      </c>
      <c r="E9" s="15">
        <f>'FU 0.73'!$D9</f>
        <v>33.924757409999998</v>
      </c>
      <c r="F9" s="15">
        <f>'FU 0.74'!$D9</f>
        <v>33.007748079999999</v>
      </c>
      <c r="G9" s="15">
        <f>'FU 0.75'!$D9</f>
        <v>32.090726330000003</v>
      </c>
      <c r="H9" s="15">
        <f>'FU 0.76'!$D9</f>
        <v>31.173691550000001</v>
      </c>
      <c r="I9" s="15">
        <f>'FU 0.77'!$D9</f>
        <v>30.256643050000001</v>
      </c>
      <c r="J9" s="15">
        <f>'FU 0.78'!$D9</f>
        <v>29.339580080000001</v>
      </c>
      <c r="K9" s="15">
        <f>'FU 0.79'!$D9</f>
        <v>28.422501820000001</v>
      </c>
      <c r="L9" s="15">
        <f>'FU 0.8'!$D9</f>
        <v>27.505407349999999</v>
      </c>
      <c r="M9" s="15">
        <f>'FU 0.81'!$D9</f>
        <v>26.58829566</v>
      </c>
      <c r="N9" s="15">
        <f>'FU 0.82'!$D9</f>
        <v>25.67116558</v>
      </c>
      <c r="O9" s="15">
        <f>'FU 0.83'!$D9</f>
        <v>24.754015809999999</v>
      </c>
      <c r="P9" s="15">
        <f>'FU 0.84'!$D9</f>
        <v>23.83684487</v>
      </c>
      <c r="Q9" s="15">
        <f t="shared" si="1"/>
        <v>22.919673930000002</v>
      </c>
    </row>
    <row r="10" spans="1:17" x14ac:dyDescent="0.25">
      <c r="A10">
        <f>'FU 0.7'!A10</f>
        <v>0.68</v>
      </c>
      <c r="B10" s="15">
        <f>'FU 0.7'!$D10</f>
        <v>36.547857970000003</v>
      </c>
      <c r="C10" s="15">
        <f t="shared" si="0"/>
        <v>35.629028314999999</v>
      </c>
      <c r="D10" s="15">
        <f>'FU 0.72'!$D10</f>
        <v>34.710198660000003</v>
      </c>
      <c r="E10" s="15">
        <f>'FU 0.73'!$D10</f>
        <v>33.791350829999999</v>
      </c>
      <c r="F10" s="15">
        <f>'FU 0.74'!$D10</f>
        <v>32.872490139999996</v>
      </c>
      <c r="G10" s="15">
        <f>'FU 0.75'!$D10</f>
        <v>31.95361596</v>
      </c>
      <c r="H10" s="15">
        <f>'FU 0.76'!$D10</f>
        <v>31.0347276</v>
      </c>
      <c r="I10" s="15">
        <f>'FU 0.77'!$D10</f>
        <v>30.115824320000002</v>
      </c>
      <c r="J10" s="15">
        <f>'FU 0.78'!$D10</f>
        <v>29.19690529</v>
      </c>
      <c r="K10" s="15">
        <f>'FU 0.79'!$D10</f>
        <v>28.27796962</v>
      </c>
      <c r="L10" s="15">
        <f>'FU 0.8'!$D10</f>
        <v>27.359016279999999</v>
      </c>
      <c r="M10" s="15">
        <f>'FU 0.81'!$D10</f>
        <v>26.440044149999999</v>
      </c>
      <c r="N10" s="15">
        <f>'FU 0.82'!$D10</f>
        <v>25.52105194</v>
      </c>
      <c r="O10" s="15">
        <f>'FU 0.83'!$D10</f>
        <v>24.602038220000001</v>
      </c>
      <c r="P10" s="15">
        <f>'FU 0.84'!$D10</f>
        <v>23.683001319999999</v>
      </c>
      <c r="Q10" s="15">
        <f t="shared" si="1"/>
        <v>22.763964419999997</v>
      </c>
    </row>
    <row r="11" spans="1:17" x14ac:dyDescent="0.25">
      <c r="A11">
        <f>'FU 0.7'!A11</f>
        <v>0.69</v>
      </c>
      <c r="B11" s="15">
        <f>'FU 0.7'!$D11</f>
        <v>36.419826499999999</v>
      </c>
      <c r="C11" s="15">
        <f t="shared" si="0"/>
        <v>35.499143070000002</v>
      </c>
      <c r="D11" s="15">
        <f>'FU 0.72'!$D11</f>
        <v>34.578459639999998</v>
      </c>
      <c r="E11" s="15">
        <f>'FU 0.73'!$D11</f>
        <v>33.657756419999998</v>
      </c>
      <c r="F11" s="15">
        <f>'FU 0.74'!$D11</f>
        <v>32.737039179999996</v>
      </c>
      <c r="G11" s="15">
        <f>'FU 0.75'!$D11</f>
        <v>31.81630723</v>
      </c>
      <c r="H11" s="15">
        <f>'FU 0.76'!$D11</f>
        <v>30.895559819999999</v>
      </c>
      <c r="I11" s="15">
        <f>'FU 0.77'!$D11</f>
        <v>29.97479611</v>
      </c>
      <c r="J11" s="15">
        <f>'FU 0.78'!$D11</f>
        <v>29.054015209999999</v>
      </c>
      <c r="K11" s="15">
        <f>'FU 0.79'!$D11</f>
        <v>28.133216099999999</v>
      </c>
      <c r="L11" s="15">
        <f>'FU 0.8'!$D11</f>
        <v>27.212397670000001</v>
      </c>
      <c r="M11" s="15">
        <f>'FU 0.81'!$D11</f>
        <v>26.291558649999999</v>
      </c>
      <c r="N11" s="15">
        <f>'FU 0.82'!$D11</f>
        <v>25.370697620000001</v>
      </c>
      <c r="O11" s="15">
        <f>'FU 0.83'!$D11</f>
        <v>24.449812980000001</v>
      </c>
      <c r="P11" s="15">
        <f>'FU 0.84'!$D11</f>
        <v>23.52890288</v>
      </c>
      <c r="Q11" s="15">
        <f t="shared" si="1"/>
        <v>22.60799278</v>
      </c>
    </row>
    <row r="12" spans="1:17" x14ac:dyDescent="0.25">
      <c r="A12">
        <f>'FU 0.7'!A12</f>
        <v>0.7</v>
      </c>
      <c r="B12" s="15">
        <f>'FU 0.7'!$D12</f>
        <v>36.29160306</v>
      </c>
      <c r="C12" s="15">
        <f t="shared" si="0"/>
        <v>35.369060355000002</v>
      </c>
      <c r="D12" s="15">
        <f>'FU 0.72'!$D12</f>
        <v>34.446517649999997</v>
      </c>
      <c r="E12" s="15">
        <f>'FU 0.73'!$D12</f>
        <v>33.523953310000003</v>
      </c>
      <c r="F12" s="15">
        <f>'FU 0.74'!$D12</f>
        <v>32.601373639999998</v>
      </c>
      <c r="G12" s="15">
        <f>'FU 0.75'!$D12</f>
        <v>31.67877786</v>
      </c>
      <c r="H12" s="15">
        <f>'FU 0.76'!$D12</f>
        <v>30.756165150000001</v>
      </c>
      <c r="I12" s="15">
        <f>'FU 0.77'!$D12</f>
        <v>29.833534579999998</v>
      </c>
      <c r="J12" s="15">
        <f>'FU 0.78'!$D12</f>
        <v>28.910885149999999</v>
      </c>
      <c r="K12" s="15">
        <f>'FU 0.79'!$D12</f>
        <v>27.988215740000001</v>
      </c>
      <c r="L12" s="15">
        <f>'FU 0.8'!$D12</f>
        <v>27.065525090000001</v>
      </c>
      <c r="M12" s="15">
        <f>'FU 0.81'!$D12</f>
        <v>26.14281179</v>
      </c>
      <c r="N12" s="15">
        <f>'FU 0.82'!$D12</f>
        <v>25.220074270000001</v>
      </c>
      <c r="O12" s="15">
        <f>'FU 0.83'!$D12</f>
        <v>24.297310710000001</v>
      </c>
      <c r="P12" s="15">
        <f>'FU 0.84'!$D12</f>
        <v>23.374519029999998</v>
      </c>
      <c r="Q12" s="15">
        <f t="shared" si="1"/>
        <v>22.451727349999995</v>
      </c>
    </row>
    <row r="13" spans="1:17" x14ac:dyDescent="0.25">
      <c r="A13">
        <f>'FU 0.7'!A13</f>
        <v>0.71</v>
      </c>
      <c r="B13" s="15">
        <f>'FU 0.7'!$D13</f>
        <v>36.163165810000002</v>
      </c>
      <c r="C13" s="15">
        <f t="shared" si="0"/>
        <v>35.238757575000001</v>
      </c>
      <c r="D13" s="15">
        <f>'FU 0.72'!$D13</f>
        <v>34.31434934</v>
      </c>
      <c r="E13" s="15">
        <f>'FU 0.73'!$D13</f>
        <v>33.389917359999998</v>
      </c>
      <c r="F13" s="15">
        <f>'FU 0.74'!$D13</f>
        <v>32.465468530000003</v>
      </c>
      <c r="G13" s="15">
        <f>'FU 0.75'!$D13</f>
        <v>31.54100201</v>
      </c>
      <c r="H13" s="15">
        <f>'FU 0.76'!$D13</f>
        <v>30.616516860000001</v>
      </c>
      <c r="I13" s="15">
        <f>'FU 0.77'!$D13</f>
        <v>29.692012049999999</v>
      </c>
      <c r="J13" s="15">
        <f>'FU 0.78'!$D13</f>
        <v>28.767486470000001</v>
      </c>
      <c r="K13" s="15">
        <f>'FU 0.79'!$D13</f>
        <v>27.842938839999999</v>
      </c>
      <c r="L13" s="15">
        <f>'FU 0.8'!$D13</f>
        <v>26.91836777</v>
      </c>
      <c r="M13" s="15">
        <f>'FU 0.81'!$D13</f>
        <v>25.993771670000001</v>
      </c>
      <c r="N13" s="15">
        <f>'FU 0.82'!$D13</f>
        <v>25.069148760000001</v>
      </c>
      <c r="O13" s="15">
        <f>'FU 0.83'!$D13</f>
        <v>24.144497000000001</v>
      </c>
      <c r="P13" s="15">
        <f>'FU 0.84'!$D13</f>
        <v>23.219814039999999</v>
      </c>
      <c r="Q13" s="15">
        <f t="shared" si="1"/>
        <v>22.295131079999997</v>
      </c>
    </row>
    <row r="14" spans="1:17" x14ac:dyDescent="0.25">
      <c r="A14">
        <f>'FU 0.7'!A14</f>
        <v>0.72</v>
      </c>
      <c r="B14" s="15">
        <f>'FU 0.7'!$D14</f>
        <v>36.034489430000001</v>
      </c>
      <c r="C14" s="15">
        <f t="shared" si="0"/>
        <v>35.108208495</v>
      </c>
      <c r="D14" s="15">
        <f>'FU 0.72'!$D14</f>
        <v>34.181927559999998</v>
      </c>
      <c r="E14" s="15">
        <f>'FU 0.73'!$D14</f>
        <v>33.255620450000002</v>
      </c>
      <c r="F14" s="15">
        <f>'FU 0.74'!$D14</f>
        <v>32.329294760000003</v>
      </c>
      <c r="G14" s="15">
        <f>'FU 0.75'!$D14</f>
        <v>31.402949530000001</v>
      </c>
      <c r="H14" s="15">
        <f>'FU 0.76'!$D14</f>
        <v>30.47658371</v>
      </c>
      <c r="I14" s="15">
        <f>'FU 0.77'!$D14</f>
        <v>29.550196159999999</v>
      </c>
      <c r="J14" s="15">
        <f>'FU 0.78'!$D14</f>
        <v>28.623785600000001</v>
      </c>
      <c r="K14" s="15">
        <f>'FU 0.79'!$D14</f>
        <v>27.697350610000001</v>
      </c>
      <c r="L14" s="15">
        <f>'FU 0.8'!$D14</f>
        <v>26.7708896</v>
      </c>
      <c r="M14" s="15">
        <f>'FU 0.81'!$D14</f>
        <v>25.844400790000002</v>
      </c>
      <c r="N14" s="15">
        <f>'FU 0.82'!$D14</f>
        <v>24.917882150000001</v>
      </c>
      <c r="O14" s="15">
        <f>'FU 0.83'!$D14</f>
        <v>23.99133136</v>
      </c>
      <c r="P14" s="15">
        <f>'FU 0.84'!$D14</f>
        <v>23.06474575</v>
      </c>
      <c r="Q14" s="15">
        <f t="shared" si="1"/>
        <v>22.13816014</v>
      </c>
    </row>
    <row r="15" spans="1:17" x14ac:dyDescent="0.25">
      <c r="A15">
        <f>'FU 0.7'!A15</f>
        <v>0.73</v>
      </c>
      <c r="B15" s="15">
        <f>'FU 0.7'!$D15</f>
        <v>35.905544310000003</v>
      </c>
      <c r="C15" s="15">
        <f t="shared" si="0"/>
        <v>34.977382419999998</v>
      </c>
      <c r="D15" s="15">
        <f>'FU 0.72'!$D15</f>
        <v>34.049220529999999</v>
      </c>
      <c r="E15" s="15">
        <f>'FU 0.73'!$D15</f>
        <v>33.121029659999998</v>
      </c>
      <c r="F15" s="15">
        <f>'FU 0.74'!$D15</f>
        <v>32.192818189999997</v>
      </c>
      <c r="G15" s="15">
        <f>'FU 0.75'!$D15</f>
        <v>31.264585029999999</v>
      </c>
      <c r="H15" s="15">
        <f>'FU 0.76'!$D15</f>
        <v>30.336328999999999</v>
      </c>
      <c r="I15" s="15">
        <f>'FU 0.77'!$D15</f>
        <v>29.40804881</v>
      </c>
      <c r="J15" s="15">
        <f>'FU 0.78'!$D15</f>
        <v>28.47974301</v>
      </c>
      <c r="K15" s="15">
        <f>'FU 0.79'!$D15</f>
        <v>27.551409979999999</v>
      </c>
      <c r="L15" s="15">
        <f>'FU 0.8'!$D15</f>
        <v>26.623047920000001</v>
      </c>
      <c r="M15" s="15">
        <f>'FU 0.81'!$D15</f>
        <v>25.694654790000001</v>
      </c>
      <c r="N15" s="15">
        <f>'FU 0.82'!$D15</f>
        <v>24.766228259999998</v>
      </c>
      <c r="O15" s="15">
        <f>'FU 0.83'!$D15</f>
        <v>23.837765690000001</v>
      </c>
      <c r="P15" s="15">
        <f>'FU 0.84'!$D15</f>
        <v>22.909264</v>
      </c>
      <c r="Q15" s="15">
        <f t="shared" si="1"/>
        <v>21.980762309999999</v>
      </c>
    </row>
    <row r="16" spans="1:17" x14ac:dyDescent="0.25">
      <c r="A16">
        <f>'FU 0.7'!A16</f>
        <v>0.74</v>
      </c>
      <c r="B16" s="15">
        <f>'FU 0.7'!$D16</f>
        <v>35.77629572</v>
      </c>
      <c r="C16" s="15">
        <f t="shared" si="0"/>
        <v>34.846243309999998</v>
      </c>
      <c r="D16" s="15">
        <f>'FU 0.72'!$D16</f>
        <v>33.916190899999997</v>
      </c>
      <c r="E16" s="15">
        <f>'FU 0.73'!$D16</f>
        <v>32.986106220000003</v>
      </c>
      <c r="F16" s="15">
        <f>'FU 0.74'!$D16</f>
        <v>32.055998559999999</v>
      </c>
      <c r="G16" s="15">
        <f>'FU 0.75'!$D16</f>
        <v>31.125866720000001</v>
      </c>
      <c r="H16" s="15">
        <f>'FU 0.76'!$D16</f>
        <v>30.19570933</v>
      </c>
      <c r="I16" s="15">
        <f>'FU 0.77'!$D16</f>
        <v>29.265524920000001</v>
      </c>
      <c r="J16" s="15">
        <f>'FU 0.78'!$D16</f>
        <v>28.335311820000001</v>
      </c>
      <c r="K16" s="15">
        <f>'FU 0.79'!$D16</f>
        <v>27.405068199999999</v>
      </c>
      <c r="L16" s="15">
        <f>'FU 0.8'!$D16</f>
        <v>26.474791969999998</v>
      </c>
      <c r="M16" s="15">
        <f>'FU 0.81'!$D16</f>
        <v>25.544480790000001</v>
      </c>
      <c r="N16" s="15">
        <f>'FU 0.82'!$D16</f>
        <v>24.61413198</v>
      </c>
      <c r="O16" s="15">
        <f>'FU 0.83'!$D16</f>
        <v>23.683742469999999</v>
      </c>
      <c r="P16" s="15">
        <f>'FU 0.84'!$D16</f>
        <v>22.753308709999999</v>
      </c>
      <c r="Q16" s="15">
        <f t="shared" si="1"/>
        <v>21.822874949999999</v>
      </c>
    </row>
    <row r="17" spans="1:17" x14ac:dyDescent="0.25">
      <c r="A17">
        <f>'FU 0.7'!A17</f>
        <v>0.75</v>
      </c>
      <c r="B17" s="15">
        <f>'FU 0.7'!$D17</f>
        <v>35.646702449999999</v>
      </c>
      <c r="C17" s="15">
        <f t="shared" si="0"/>
        <v>34.714748325000002</v>
      </c>
      <c r="D17" s="15">
        <f>'FU 0.72'!$D17</f>
        <v>33.782794199999998</v>
      </c>
      <c r="E17" s="15">
        <f>'FU 0.73'!$D17</f>
        <v>32.850803929999998</v>
      </c>
      <c r="F17" s="15">
        <f>'FU 0.74'!$D17</f>
        <v>31.918787900000002</v>
      </c>
      <c r="G17" s="15">
        <f>'FU 0.75'!$D17</f>
        <v>30.98674471</v>
      </c>
      <c r="H17" s="15">
        <f>'FU 0.76'!$D17</f>
        <v>30.054672799999999</v>
      </c>
      <c r="I17" s="15">
        <f>'FU 0.77'!$D17</f>
        <v>29.122570469999999</v>
      </c>
      <c r="J17" s="15">
        <f>'FU 0.78'!$D17</f>
        <v>28.19043581</v>
      </c>
      <c r="K17" s="15">
        <f>'FU 0.79'!$D17</f>
        <v>27.258266679999998</v>
      </c>
      <c r="L17" s="15">
        <f>'FU 0.8'!$D17</f>
        <v>26.32606067</v>
      </c>
      <c r="M17" s="15">
        <f>'FU 0.81'!$D17</f>
        <v>25.393815060000001</v>
      </c>
      <c r="N17" s="15">
        <f>'FU 0.82'!$D17</f>
        <v>24.461526719999998</v>
      </c>
      <c r="O17" s="15">
        <f>'FU 0.83'!$D17</f>
        <v>23.529192070000001</v>
      </c>
      <c r="P17" s="15">
        <f>'FU 0.84'!$D17</f>
        <v>22.59680694</v>
      </c>
      <c r="Q17" s="15">
        <f t="shared" si="1"/>
        <v>21.66442181</v>
      </c>
    </row>
    <row r="18" spans="1:17" x14ac:dyDescent="0.25">
      <c r="A18">
        <f>'FU 0.7'!A18</f>
        <v>0.76</v>
      </c>
      <c r="B18" s="15">
        <f>'FU 0.7'!$D18</f>
        <v>35.516715329999997</v>
      </c>
      <c r="C18" s="15">
        <f t="shared" si="0"/>
        <v>34.582846285000002</v>
      </c>
      <c r="D18" s="15">
        <f>'FU 0.72'!$D18</f>
        <v>33.648977240000001</v>
      </c>
      <c r="E18" s="15">
        <f>'FU 0.73'!$D18</f>
        <v>32.715067449999999</v>
      </c>
      <c r="F18" s="15">
        <f>'FU 0.74'!$D18</f>
        <v>31.781128580000001</v>
      </c>
      <c r="G18" s="15">
        <f>'FU 0.75'!$D18</f>
        <v>30.847159000000001</v>
      </c>
      <c r="H18" s="15">
        <f>'FU 0.76'!$D18</f>
        <v>29.913156910000001</v>
      </c>
      <c r="I18" s="15">
        <f>'FU 0.77'!$D18</f>
        <v>28.979120330000001</v>
      </c>
      <c r="J18" s="15">
        <f>'FU 0.78'!$D18</f>
        <v>28.045047019999998</v>
      </c>
      <c r="K18" s="15">
        <f>'FU 0.79'!$D18</f>
        <v>27.110934480000001</v>
      </c>
      <c r="L18" s="15">
        <f>'FU 0.8'!$D18</f>
        <v>26.17677991</v>
      </c>
      <c r="M18" s="15">
        <f>'FU 0.81'!$D18</f>
        <v>25.24258008</v>
      </c>
      <c r="N18" s="15">
        <f>'FU 0.82'!$D18</f>
        <v>24.308331320000001</v>
      </c>
      <c r="O18" s="15">
        <f>'FU 0.83'!$D18</f>
        <v>23.37402939</v>
      </c>
      <c r="P18" s="15">
        <f>'FU 0.84'!$D18</f>
        <v>22.439669339999998</v>
      </c>
      <c r="Q18" s="15">
        <f t="shared" si="1"/>
        <v>21.505309289999996</v>
      </c>
    </row>
    <row r="19" spans="1:17" x14ac:dyDescent="0.25">
      <c r="A19">
        <f>'FU 0.7'!A19</f>
        <v>0.77</v>
      </c>
      <c r="B19" s="15">
        <f>'FU 0.7'!$D19</f>
        <v>35.386275089999998</v>
      </c>
      <c r="C19" s="15">
        <f t="shared" si="0"/>
        <v>34.450475400000002</v>
      </c>
      <c r="D19" s="15">
        <f>'FU 0.72'!$D19</f>
        <v>33.514675709999999</v>
      </c>
      <c r="E19" s="15">
        <f>'FU 0.73'!$D19</f>
        <v>32.578829759999998</v>
      </c>
      <c r="F19" s="15">
        <f>'FU 0.74'!$D19</f>
        <v>31.642950720000002</v>
      </c>
      <c r="G19" s="15">
        <f>'FU 0.75'!$D19</f>
        <v>30.707036689999999</v>
      </c>
      <c r="H19" s="15">
        <f>'FU 0.76'!$D19</f>
        <v>29.77108557</v>
      </c>
      <c r="I19" s="15">
        <f>'FU 0.77'!$D19</f>
        <v>28.835094999999999</v>
      </c>
      <c r="J19" s="15">
        <f>'FU 0.78'!$D19</f>
        <v>27.899062359999999</v>
      </c>
      <c r="K19" s="15">
        <f>'FU 0.79'!$D19</f>
        <v>26.962984689999999</v>
      </c>
      <c r="L19" s="15">
        <f>'FU 0.8'!$D19</f>
        <v>26.026858650000001</v>
      </c>
      <c r="M19" s="15">
        <f>'FU 0.81'!$D19</f>
        <v>25.090680410000001</v>
      </c>
      <c r="N19" s="15">
        <f>'FU 0.82'!$D19</f>
        <v>24.154445590000002</v>
      </c>
      <c r="O19" s="15">
        <f>'FU 0.83'!$D19</f>
        <v>23.218149090000001</v>
      </c>
      <c r="P19" s="15">
        <f>'FU 0.84'!$D19</f>
        <v>22.28178496</v>
      </c>
      <c r="Q19" s="15">
        <f t="shared" si="1"/>
        <v>21.345420829999998</v>
      </c>
    </row>
    <row r="20" spans="1:17" x14ac:dyDescent="0.25">
      <c r="A20">
        <f>'FU 0.7'!A20</f>
        <v>0.78</v>
      </c>
      <c r="B20" s="15">
        <f>'FU 0.7'!$D20</f>
        <v>35.255309570000001</v>
      </c>
      <c r="C20" s="15">
        <f t="shared" si="0"/>
        <v>34.317560305000001</v>
      </c>
      <c r="D20" s="15">
        <f>'FU 0.72'!$D20</f>
        <v>33.37981104</v>
      </c>
      <c r="E20" s="15">
        <f>'FU 0.73'!$D20</f>
        <v>32.442008809999997</v>
      </c>
      <c r="F20" s="15">
        <f>'FU 0.74'!$D20</f>
        <v>31.504168620000002</v>
      </c>
      <c r="G20" s="15">
        <f>'FU 0.75'!$D20</f>
        <v>30.566288199999999</v>
      </c>
      <c r="H20" s="15">
        <f>'FU 0.76'!$D20</f>
        <v>29.628365049999999</v>
      </c>
      <c r="I20" s="15">
        <f>'FU 0.77'!$D20</f>
        <v>28.690396379999999</v>
      </c>
      <c r="J20" s="15">
        <f>'FU 0.78'!$D20</f>
        <v>27.752379040000001</v>
      </c>
      <c r="K20" s="15">
        <f>'FU 0.79'!$D20</f>
        <v>26.814309489999999</v>
      </c>
      <c r="L20" s="15">
        <f>'FU 0.8'!$D20</f>
        <v>25.876183699999999</v>
      </c>
      <c r="M20" s="15">
        <f>'FU 0.81'!$D20</f>
        <v>24.937997039999999</v>
      </c>
      <c r="N20" s="15">
        <f>'FU 0.82'!$D20</f>
        <v>23.999744190000001</v>
      </c>
      <c r="O20" s="15">
        <f>'FU 0.83'!$D20</f>
        <v>23.06141895</v>
      </c>
      <c r="P20" s="15">
        <f>'FU 0.84'!$D20</f>
        <v>22.123014019999999</v>
      </c>
      <c r="Q20" s="15">
        <f t="shared" si="1"/>
        <v>21.184609089999999</v>
      </c>
    </row>
    <row r="21" spans="1:17" x14ac:dyDescent="0.25">
      <c r="A21">
        <f>'FU 0.7'!A21</f>
        <v>0.79</v>
      </c>
      <c r="B21" s="15">
        <f>'FU 0.7'!$D21</f>
        <v>35.123729930000003</v>
      </c>
      <c r="C21" s="15">
        <f t="shared" si="0"/>
        <v>34.184008015000003</v>
      </c>
      <c r="D21" s="15">
        <f>'FU 0.72'!$D21</f>
        <v>33.244286099999997</v>
      </c>
      <c r="E21" s="15">
        <f>'FU 0.73'!$D21</f>
        <v>32.304502970000001</v>
      </c>
      <c r="F21" s="15">
        <f>'FU 0.74'!$D21</f>
        <v>31.36467584</v>
      </c>
      <c r="G21" s="15">
        <f>'FU 0.75'!$D21</f>
        <v>30.424802</v>
      </c>
      <c r="H21" s="15">
        <f>'FU 0.76'!$D21</f>
        <v>29.484878429999998</v>
      </c>
      <c r="I21" s="15">
        <f>'FU 0.77'!$D21</f>
        <v>28.54490174</v>
      </c>
      <c r="J21" s="15">
        <f>'FU 0.78'!$D21</f>
        <v>27.604868119999999</v>
      </c>
      <c r="K21" s="15">
        <f>'FU 0.79'!$D21</f>
        <v>26.664773230000002</v>
      </c>
      <c r="L21" s="15">
        <f>'FU 0.8'!$D21</f>
        <v>25.724612149999999</v>
      </c>
      <c r="M21" s="15">
        <f>'FU 0.81'!$D21</f>
        <v>24.784379179999998</v>
      </c>
      <c r="N21" s="15">
        <f>'FU 0.82'!$D21</f>
        <v>23.844067769999999</v>
      </c>
      <c r="O21" s="15">
        <f>'FU 0.83'!$D21</f>
        <v>22.903670179999999</v>
      </c>
      <c r="P21" s="15">
        <f>'FU 0.84'!$D21</f>
        <v>21.963177340000001</v>
      </c>
      <c r="Q21" s="15">
        <f t="shared" si="1"/>
        <v>21.022684500000004</v>
      </c>
    </row>
    <row r="22" spans="1:17" x14ac:dyDescent="0.25">
      <c r="A22">
        <f>'FU 0.7'!A22</f>
        <v>0.8</v>
      </c>
      <c r="B22" s="15">
        <f>'FU 0.7'!$D22</f>
        <v>34.99142535</v>
      </c>
      <c r="C22" s="15">
        <f t="shared" si="0"/>
        <v>34.049702260000004</v>
      </c>
      <c r="D22" s="15">
        <f>'FU 0.72'!$D22</f>
        <v>33.10797917</v>
      </c>
      <c r="E22" s="15">
        <f>'FU 0.73'!$D22</f>
        <v>32.166184540000003</v>
      </c>
      <c r="F22" s="15">
        <f>'FU 0.74'!$D22</f>
        <v>31.22433835</v>
      </c>
      <c r="G22" s="15">
        <f>'FU 0.75'!$D22</f>
        <v>30.282437259999998</v>
      </c>
      <c r="H22" s="15">
        <f>'FU 0.76'!$D22</f>
        <v>29.340477580000002</v>
      </c>
      <c r="I22" s="15">
        <f>'FU 0.77'!$D22</f>
        <v>28.398455129999999</v>
      </c>
      <c r="J22" s="15">
        <f>'FU 0.78'!$D22</f>
        <v>27.456365179999999</v>
      </c>
      <c r="K22" s="15">
        <f>'FU 0.79'!$D22</f>
        <v>26.51420237</v>
      </c>
      <c r="L22" s="15">
        <f>'FU 0.8'!$D22</f>
        <v>25.57196051</v>
      </c>
      <c r="M22" s="15">
        <f>'FU 0.81'!$D22</f>
        <v>24.629632489999999</v>
      </c>
      <c r="N22" s="15">
        <f>'FU 0.82'!$D22</f>
        <v>23.68721</v>
      </c>
      <c r="O22" s="15">
        <f>'FU 0.83'!$D22</f>
        <v>22.744683240000001</v>
      </c>
      <c r="P22" s="15">
        <f>'FU 0.84'!$D22</f>
        <v>21.80204058</v>
      </c>
      <c r="Q22" s="15">
        <f t="shared" si="1"/>
        <v>20.859397919999999</v>
      </c>
    </row>
    <row r="23" spans="1:17" x14ac:dyDescent="0.25">
      <c r="A23">
        <f>'FU 0.7'!A23</f>
        <v>0.81</v>
      </c>
      <c r="B23" s="15">
        <f>'FU 0.7'!$D23</f>
        <v>34.858255589999999</v>
      </c>
      <c r="C23" s="15">
        <f t="shared" si="0"/>
        <v>33.914495465000002</v>
      </c>
      <c r="D23" s="15">
        <f>'FU 0.72'!$D23</f>
        <v>32.970735339999997</v>
      </c>
      <c r="E23" s="15">
        <f>'FU 0.73'!$D23</f>
        <v>32.026890549999997</v>
      </c>
      <c r="F23" s="15">
        <f>'FU 0.74'!$D23</f>
        <v>31.082984499999998</v>
      </c>
      <c r="G23" s="15">
        <f>'FU 0.75'!$D23</f>
        <v>30.13901306</v>
      </c>
      <c r="H23" s="15">
        <f>'FU 0.76'!$D23</f>
        <v>29.194971580000001</v>
      </c>
      <c r="I23" s="15">
        <f>'FU 0.77'!$D23</f>
        <v>28.250854799999999</v>
      </c>
      <c r="J23" s="15">
        <f>'FU 0.78'!$D23</f>
        <v>27.306656749999998</v>
      </c>
      <c r="K23" s="15">
        <f>'FU 0.79'!$D23</f>
        <v>26.362370590000001</v>
      </c>
      <c r="L23" s="15">
        <f>'FU 0.8'!$D23</f>
        <v>25.417988439999998</v>
      </c>
      <c r="M23" s="15">
        <f>'FU 0.81'!$D23</f>
        <v>24.473501110000001</v>
      </c>
      <c r="N23" s="15">
        <f>'FU 0.82'!$D23</f>
        <v>23.52889785</v>
      </c>
      <c r="O23" s="15">
        <f>'FU 0.83'!$D23</f>
        <v>22.58416587</v>
      </c>
      <c r="P23" s="15">
        <f>'FU 0.84'!$D23</f>
        <v>21.639289819999998</v>
      </c>
      <c r="Q23" s="15">
        <f t="shared" si="1"/>
        <v>20.694413769999997</v>
      </c>
    </row>
    <row r="24" spans="1:17" x14ac:dyDescent="0.25">
      <c r="A24">
        <f>'FU 0.7'!A24</f>
        <v>0.82</v>
      </c>
      <c r="B24" s="15">
        <f>'FU 0.7'!$D24</f>
        <v>34.724040049999999</v>
      </c>
      <c r="C24" s="15">
        <f t="shared" si="0"/>
        <v>33.778196960000002</v>
      </c>
      <c r="D24" s="15">
        <f>'FU 0.72'!$D24</f>
        <v>32.832353869999999</v>
      </c>
      <c r="E24" s="15">
        <f>'FU 0.73'!$D24</f>
        <v>31.886409059999998</v>
      </c>
      <c r="F24" s="15">
        <f>'FU 0.74'!$D24</f>
        <v>30.940390319999999</v>
      </c>
      <c r="G24" s="15">
        <f>'FU 0.75'!$D24</f>
        <v>29.994292380000001</v>
      </c>
      <c r="H24" s="15">
        <f>'FU 0.76'!$D24</f>
        <v>29.04810926</v>
      </c>
      <c r="I24" s="15">
        <f>'FU 0.77'!$D24</f>
        <v>28.101834180000001</v>
      </c>
      <c r="J24" s="15">
        <f>'FU 0.78'!$D24</f>
        <v>27.155459390000001</v>
      </c>
      <c r="K24" s="15">
        <f>'FU 0.79'!$D24</f>
        <v>26.208975939999998</v>
      </c>
      <c r="L24" s="15">
        <f>'FU 0.8'!$D24</f>
        <v>25.26238231</v>
      </c>
      <c r="M24" s="15">
        <f>'FU 0.81'!$D24</f>
        <v>24.315648719999999</v>
      </c>
      <c r="N24" s="15">
        <f>'FU 0.82'!$D24</f>
        <v>23.368769499999999</v>
      </c>
      <c r="O24" s="15">
        <f>'FU 0.83'!$D24</f>
        <v>22.421727359999998</v>
      </c>
      <c r="P24" s="15">
        <f>'FU 0.84'!$D24</f>
        <v>21.474501360000001</v>
      </c>
      <c r="Q24" s="15">
        <f t="shared" si="1"/>
        <v>20.527275360000004</v>
      </c>
    </row>
    <row r="25" spans="1:17" x14ac:dyDescent="0.25">
      <c r="A25">
        <f>'FU 0.7'!A25</f>
        <v>0.83</v>
      </c>
      <c r="B25" s="15">
        <f>'FU 0.7'!$D25</f>
        <v>34.588541579999998</v>
      </c>
      <c r="C25" s="15">
        <f t="shared" si="0"/>
        <v>33.64055535</v>
      </c>
      <c r="D25" s="15">
        <f>'FU 0.72'!$D25</f>
        <v>32.692569120000002</v>
      </c>
      <c r="E25" s="15">
        <f>'FU 0.73'!$D25</f>
        <v>31.74445845</v>
      </c>
      <c r="F25" s="15">
        <f>'FU 0.74'!$D25</f>
        <v>30.79626515</v>
      </c>
      <c r="G25" s="15">
        <f>'FU 0.75'!$D25</f>
        <v>29.847965779999999</v>
      </c>
      <c r="H25" s="15">
        <f>'FU 0.76'!$D25</f>
        <v>28.899560650000002</v>
      </c>
      <c r="I25" s="15">
        <f>'FU 0.77'!$D25</f>
        <v>27.951040720000002</v>
      </c>
      <c r="J25" s="15">
        <f>'FU 0.78'!$D25</f>
        <v>27.002395589999999</v>
      </c>
      <c r="K25" s="15">
        <f>'FU 0.79'!$D25</f>
        <v>26.05361314</v>
      </c>
      <c r="L25" s="15">
        <f>'FU 0.8'!$D25</f>
        <v>25.104679220000001</v>
      </c>
      <c r="M25" s="15">
        <f>'FU 0.81'!$D25</f>
        <v>24.155577019999999</v>
      </c>
      <c r="N25" s="15">
        <f>'FU 0.82'!$D25</f>
        <v>23.20628644</v>
      </c>
      <c r="O25" s="15">
        <f>'FU 0.83'!$D25</f>
        <v>22.2567831</v>
      </c>
      <c r="P25" s="15">
        <f>'FU 0.84'!$D25</f>
        <v>21.307036979999999</v>
      </c>
      <c r="Q25" s="15">
        <f t="shared" si="1"/>
        <v>20.357290859999999</v>
      </c>
    </row>
    <row r="26" spans="1:17" x14ac:dyDescent="0.25">
      <c r="A26">
        <f>'FU 0.7'!A26</f>
        <v>0.84</v>
      </c>
      <c r="B26" s="15">
        <f>'FU 0.7'!$D26</f>
        <v>34.451449320000002</v>
      </c>
      <c r="C26" s="15">
        <f t="shared" si="0"/>
        <v>33.501239060000003</v>
      </c>
      <c r="D26" s="15">
        <f>'FU 0.72'!$D26</f>
        <v>32.551028799999997</v>
      </c>
      <c r="E26" s="15">
        <f>'FU 0.73'!$D26</f>
        <v>31.600662889999999</v>
      </c>
      <c r="F26" s="15">
        <f>'FU 0.74'!$D26</f>
        <v>30.650182470000001</v>
      </c>
      <c r="G26" s="15">
        <f>'FU 0.75'!$D26</f>
        <v>29.699578079999998</v>
      </c>
      <c r="H26" s="15">
        <f>'FU 0.76'!$D26</f>
        <v>28.748838889999998</v>
      </c>
      <c r="I26" s="15">
        <f>'FU 0.77'!$D26</f>
        <v>27.7979524</v>
      </c>
      <c r="J26" s="15">
        <f>'FU 0.78'!$D26</f>
        <v>26.84690406</v>
      </c>
      <c r="K26" s="15">
        <f>'FU 0.79'!$D26</f>
        <v>25.895676770000001</v>
      </c>
      <c r="L26" s="15">
        <f>'FU 0.8'!$D26</f>
        <v>24.94425026</v>
      </c>
      <c r="M26" s="15">
        <f>'FU 0.81'!$D26</f>
        <v>23.992600199999998</v>
      </c>
      <c r="N26" s="15">
        <f>'FU 0.82'!$D26</f>
        <v>23.04069703</v>
      </c>
      <c r="O26" s="15">
        <f>'FU 0.83'!$D26</f>
        <v>22.088504289999999</v>
      </c>
      <c r="P26" s="15">
        <f>'FU 0.84'!$D26</f>
        <v>21.13597622</v>
      </c>
      <c r="Q26" s="15">
        <f t="shared" si="1"/>
        <v>20.18344815</v>
      </c>
    </row>
    <row r="27" spans="1:17" x14ac:dyDescent="0.25">
      <c r="A27">
        <f>'FU 0.7'!A27</f>
        <v>0.85</v>
      </c>
      <c r="B27" s="15">
        <f>'FU 0.7'!$D27</f>
        <v>34.312306470000003</v>
      </c>
      <c r="C27" s="15">
        <f t="shared" si="0"/>
        <v>33.359759315000005</v>
      </c>
      <c r="D27" s="15">
        <f>'FU 0.72'!$D27</f>
        <v>32.40721216</v>
      </c>
      <c r="E27" s="15">
        <f>'FU 0.73'!$D27</f>
        <v>31.454464850000001</v>
      </c>
      <c r="F27" s="15">
        <f>'FU 0.74'!$D27</f>
        <v>30.501568989999999</v>
      </c>
      <c r="G27" s="15">
        <f>'FU 0.75'!$D27</f>
        <v>29.548511120000001</v>
      </c>
      <c r="H27" s="15">
        <f>'FU 0.76'!$D27</f>
        <v>28.595275669999999</v>
      </c>
      <c r="I27" s="15">
        <f>'FU 0.77'!$D27</f>
        <v>27.641844410000001</v>
      </c>
      <c r="J27" s="15">
        <f>'FU 0.78'!$D27</f>
        <v>26.6881959</v>
      </c>
      <c r="K27" s="15">
        <f>'FU 0.79'!$D27</f>
        <v>25.734304560000002</v>
      </c>
      <c r="L27" s="15">
        <f>'FU 0.8'!$D27</f>
        <v>24.78013958</v>
      </c>
      <c r="M27" s="15">
        <f>'FU 0.81'!$D27</f>
        <v>23.825663299999999</v>
      </c>
      <c r="N27" s="15">
        <f>'FU 0.82'!$D27</f>
        <v>22.870829029999999</v>
      </c>
      <c r="O27" s="15">
        <f>'FU 0.83'!$D27</f>
        <v>21.91557778</v>
      </c>
      <c r="P27" s="15">
        <f>'FU 0.84'!$D27</f>
        <v>20.959833499999998</v>
      </c>
      <c r="Q27" s="15">
        <f t="shared" si="1"/>
        <v>20.004089219999997</v>
      </c>
    </row>
  </sheetData>
  <conditionalFormatting sqref="B2:Q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workbookViewId="0">
      <selection activeCell="Q2" sqref="Q2:Q27"/>
    </sheetView>
  </sheetViews>
  <sheetFormatPr defaultRowHeight="15" x14ac:dyDescent="0.25"/>
  <sheetData>
    <row r="1" spans="1:17" x14ac:dyDescent="0.25">
      <c r="B1">
        <v>0.7</v>
      </c>
      <c r="C1">
        <v>0.71</v>
      </c>
      <c r="D1">
        <v>0.72</v>
      </c>
      <c r="E1">
        <v>0.73</v>
      </c>
      <c r="F1">
        <v>0.74</v>
      </c>
      <c r="G1">
        <v>0.75</v>
      </c>
      <c r="H1">
        <v>0.76</v>
      </c>
      <c r="I1">
        <v>0.77</v>
      </c>
      <c r="J1">
        <v>0.78</v>
      </c>
      <c r="K1">
        <v>0.79</v>
      </c>
      <c r="L1">
        <v>0.8</v>
      </c>
      <c r="M1">
        <v>0.81</v>
      </c>
      <c r="N1">
        <v>0.82</v>
      </c>
      <c r="O1">
        <v>0.83</v>
      </c>
      <c r="P1">
        <v>0.84</v>
      </c>
      <c r="Q1">
        <v>0.85</v>
      </c>
    </row>
    <row r="2" spans="1:17" x14ac:dyDescent="0.25">
      <c r="A2">
        <f>'FU 0.7'!A2</f>
        <v>0.6</v>
      </c>
      <c r="B2" s="15">
        <f>'FU 0.7'!$E2</f>
        <v>67.320841380000005</v>
      </c>
      <c r="C2" s="15">
        <f>(B2+D2)/2</f>
        <v>66.840992595000003</v>
      </c>
      <c r="D2" s="15">
        <f>'FU 0.72'!$E2</f>
        <v>66.361143810000002</v>
      </c>
      <c r="E2" s="15">
        <f>'FU 0.73'!$E2</f>
        <v>65.881287929999999</v>
      </c>
      <c r="F2" s="15">
        <f>'FU 0.74'!$E2</f>
        <v>65.40142702</v>
      </c>
      <c r="G2" s="15">
        <f>'FU 0.75'!$E2</f>
        <v>64.921560819999996</v>
      </c>
      <c r="H2" s="15">
        <f>'FU 0.76'!$E2</f>
        <v>64.441689060000002</v>
      </c>
      <c r="I2" s="15">
        <f>'FU 0.77'!$E2</f>
        <v>63.961811470000001</v>
      </c>
      <c r="J2" s="15">
        <f>'FU 0.78'!$E2</f>
        <v>63.481927730000002</v>
      </c>
      <c r="K2" s="15">
        <f>'FU 0.79'!$E2</f>
        <v>63.0020375</v>
      </c>
      <c r="L2" s="15">
        <f>'FU 0.8'!$E2</f>
        <v>62.522140409999999</v>
      </c>
      <c r="M2" s="15">
        <f>'FU 0.81'!$E2</f>
        <v>62.042236039999999</v>
      </c>
      <c r="N2" s="15">
        <f>'FU 0.82'!$E2</f>
        <v>61.562323929999998</v>
      </c>
      <c r="O2" s="15">
        <f>'FU 0.83'!$E2</f>
        <v>61.082403579999998</v>
      </c>
      <c r="P2" s="15">
        <f>'FU 0.84'!$E2</f>
        <v>60.602474389999998</v>
      </c>
      <c r="Q2" s="15">
        <f>P2+P2-O2</f>
        <v>60.122545199999998</v>
      </c>
    </row>
    <row r="3" spans="1:17" x14ac:dyDescent="0.25">
      <c r="A3">
        <f>'FU 0.7'!A3</f>
        <v>0.61</v>
      </c>
      <c r="B3" s="15">
        <f>'FU 0.7'!E3</f>
        <v>67.766846630000003</v>
      </c>
      <c r="C3" s="15">
        <f t="shared" ref="C3:C27" si="0">(B3+D3)/2</f>
        <v>67.293360425000003</v>
      </c>
      <c r="D3" s="15">
        <f>'FU 0.72'!$E3</f>
        <v>66.819874220000003</v>
      </c>
      <c r="E3" s="15">
        <f>'FU 0.73'!$E3</f>
        <v>66.346380449999998</v>
      </c>
      <c r="F3" s="15">
        <f>'FU 0.74'!$E3</f>
        <v>65.872881309999997</v>
      </c>
      <c r="G3" s="15">
        <f>'FU 0.75'!$E3</f>
        <v>65.399376529999998</v>
      </c>
      <c r="H3" s="15">
        <f>'FU 0.76'!$E3</f>
        <v>64.92586584</v>
      </c>
      <c r="I3" s="15">
        <f>'FU 0.77'!$E3</f>
        <v>64.452348909999998</v>
      </c>
      <c r="J3" s="15">
        <f>'FU 0.78'!$E3</f>
        <v>63.97882542</v>
      </c>
      <c r="K3" s="15">
        <f>'FU 0.79'!$E3</f>
        <v>63.505295009999998</v>
      </c>
      <c r="L3" s="15">
        <f>'FU 0.8'!$E3</f>
        <v>63.03175727</v>
      </c>
      <c r="M3" s="15">
        <f>'FU 0.81'!$E3</f>
        <v>62.558211759999999</v>
      </c>
      <c r="N3" s="15">
        <f>'FU 0.82'!$E3</f>
        <v>62.084657989999997</v>
      </c>
      <c r="O3" s="15">
        <f>'FU 0.83'!$E3</f>
        <v>61.611095390000003</v>
      </c>
      <c r="P3" s="15">
        <f>'FU 0.84'!$E3</f>
        <v>61.137523340000001</v>
      </c>
      <c r="Q3" s="15">
        <f t="shared" ref="Q3:Q27" si="1">P3+P3-O3</f>
        <v>60.66395129</v>
      </c>
    </row>
    <row r="4" spans="1:17" x14ac:dyDescent="0.25">
      <c r="A4">
        <f>'FU 0.7'!A4</f>
        <v>0.62</v>
      </c>
      <c r="B4" s="15">
        <f>'FU 0.7'!E4</f>
        <v>68.212787250000005</v>
      </c>
      <c r="C4" s="15">
        <f t="shared" si="0"/>
        <v>67.745661990000002</v>
      </c>
      <c r="D4" s="15">
        <f>'FU 0.72'!$E4</f>
        <v>67.278536729999999</v>
      </c>
      <c r="E4" s="15">
        <f>'FU 0.73'!$E4</f>
        <v>66.811403380000002</v>
      </c>
      <c r="F4" s="15">
        <f>'FU 0.74'!$E4</f>
        <v>66.344264289999998</v>
      </c>
      <c r="G4" s="15">
        <f>'FU 0.75'!$E4</f>
        <v>65.87711917</v>
      </c>
      <c r="H4" s="15">
        <f>'FU 0.76'!$E4</f>
        <v>65.409967730000005</v>
      </c>
      <c r="I4" s="15">
        <f>'FU 0.77'!$E4</f>
        <v>64.942809629999999</v>
      </c>
      <c r="J4" s="15">
        <f>'FU 0.78'!$E4</f>
        <v>64.475644509999995</v>
      </c>
      <c r="K4" s="15">
        <f>'FU 0.79'!$E4</f>
        <v>64.008471979999996</v>
      </c>
      <c r="L4" s="15">
        <f>'FU 0.8'!$E4</f>
        <v>63.541291620000003</v>
      </c>
      <c r="M4" s="15">
        <f>'FU 0.81'!$E4</f>
        <v>63.074102930000002</v>
      </c>
      <c r="N4" s="15">
        <f>'FU 0.82'!$E4</f>
        <v>62.606905390000001</v>
      </c>
      <c r="O4" s="15">
        <f>'FU 0.83'!$E4</f>
        <v>62.13969839</v>
      </c>
      <c r="P4" s="15">
        <f>'FU 0.84'!$E4</f>
        <v>61.672481259999998</v>
      </c>
      <c r="Q4" s="15">
        <f t="shared" si="1"/>
        <v>61.205264129999996</v>
      </c>
    </row>
    <row r="5" spans="1:17" x14ac:dyDescent="0.25">
      <c r="A5">
        <f>'FU 0.7'!A5</f>
        <v>0.63</v>
      </c>
      <c r="B5" s="15">
        <f>'FU 0.7'!E5</f>
        <v>68.658657660000003</v>
      </c>
      <c r="C5" s="15">
        <f t="shared" si="0"/>
        <v>68.197891534999997</v>
      </c>
      <c r="D5" s="15">
        <f>'FU 0.72'!$E5</f>
        <v>67.737125410000004</v>
      </c>
      <c r="E5" s="15">
        <f>'FU 0.73'!$E5</f>
        <v>67.276350609999994</v>
      </c>
      <c r="F5" s="15">
        <f>'FU 0.74'!$E5</f>
        <v>66.815569670000002</v>
      </c>
      <c r="G5" s="15">
        <f>'FU 0.75'!$E5</f>
        <v>66.354782279999995</v>
      </c>
      <c r="H5" s="15">
        <f>'FU 0.76'!$E5</f>
        <v>65.893988100000001</v>
      </c>
      <c r="I5" s="15">
        <f>'FU 0.77'!$E5</f>
        <v>65.433186789999993</v>
      </c>
      <c r="J5" s="15">
        <f>'FU 0.78'!$E5</f>
        <v>64.972377960000003</v>
      </c>
      <c r="K5" s="15">
        <f>'FU 0.79'!$E5</f>
        <v>64.511561180000001</v>
      </c>
      <c r="L5" s="15">
        <f>'FU 0.8'!$E5</f>
        <v>64.050735990000007</v>
      </c>
      <c r="M5" s="15">
        <f>'FU 0.81'!$E5</f>
        <v>63.589901869999998</v>
      </c>
      <c r="N5" s="15">
        <f>'FU 0.82'!$E5</f>
        <v>63.129058239999999</v>
      </c>
      <c r="O5" s="15">
        <f>'FU 0.83'!$E5</f>
        <v>62.668204449999998</v>
      </c>
      <c r="P5" s="15">
        <f>'FU 0.84'!$E5</f>
        <v>62.207339760000004</v>
      </c>
      <c r="Q5" s="15">
        <f t="shared" si="1"/>
        <v>61.74647507000001</v>
      </c>
    </row>
    <row r="6" spans="1:17" x14ac:dyDescent="0.25">
      <c r="A6">
        <f>'FU 0.7'!A6</f>
        <v>0.64</v>
      </c>
      <c r="B6" s="15">
        <f>'FU 0.7'!E6</f>
        <v>69.104451600000004</v>
      </c>
      <c r="C6" s="15">
        <f t="shared" si="0"/>
        <v>68.65004261</v>
      </c>
      <c r="D6" s="15">
        <f>'FU 0.72'!$E6</f>
        <v>68.195633619999995</v>
      </c>
      <c r="E6" s="15">
        <f>'FU 0.73'!$E6</f>
        <v>67.741215330000003</v>
      </c>
      <c r="F6" s="15">
        <f>'FU 0.74'!$E6</f>
        <v>67.286790440000004</v>
      </c>
      <c r="G6" s="15">
        <f>'FU 0.75'!$E6</f>
        <v>66.83235861</v>
      </c>
      <c r="H6" s="15">
        <f>'FU 0.76'!$E6</f>
        <v>66.377919500000004</v>
      </c>
      <c r="I6" s="15">
        <f>'FU 0.77'!$E6</f>
        <v>65.92347273</v>
      </c>
      <c r="J6" s="15">
        <f>'FU 0.78'!$E6</f>
        <v>65.469017870000002</v>
      </c>
      <c r="K6" s="15">
        <f>'FU 0.79'!$E6</f>
        <v>65.014554469999993</v>
      </c>
      <c r="L6" s="15">
        <f>'FU 0.8'!$E6</f>
        <v>64.560082019999996</v>
      </c>
      <c r="M6" s="15">
        <f>'FU 0.81'!$E6</f>
        <v>64.105599949999998</v>
      </c>
      <c r="N6" s="15">
        <f>'FU 0.82'!$E6</f>
        <v>63.651107639999999</v>
      </c>
      <c r="O6" s="15">
        <f>'FU 0.83'!$E6</f>
        <v>63.196604389999997</v>
      </c>
      <c r="P6" s="15">
        <f>'FU 0.84'!$E6</f>
        <v>62.742089380000003</v>
      </c>
      <c r="Q6" s="15">
        <f t="shared" si="1"/>
        <v>62.287574370000009</v>
      </c>
    </row>
    <row r="7" spans="1:17" x14ac:dyDescent="0.25">
      <c r="A7">
        <f>'FU 0.7'!A7</f>
        <v>0.65</v>
      </c>
      <c r="B7" s="15">
        <f>'FU 0.7'!E7</f>
        <v>69.550162040000004</v>
      </c>
      <c r="C7" s="15">
        <f t="shared" si="0"/>
        <v>69.10210798</v>
      </c>
      <c r="D7" s="15">
        <f>'FU 0.72'!$E7</f>
        <v>68.654053919999996</v>
      </c>
      <c r="E7" s="15">
        <f>'FU 0.73'!$E7</f>
        <v>68.205989849999995</v>
      </c>
      <c r="F7" s="15">
        <f>'FU 0.74'!$E7</f>
        <v>67.757918660000001</v>
      </c>
      <c r="G7" s="15">
        <f>'FU 0.75'!$E7</f>
        <v>67.309840019999996</v>
      </c>
      <c r="H7" s="15">
        <f>'FU 0.76'!$E7</f>
        <v>66.861753530000001</v>
      </c>
      <c r="I7" s="15">
        <f>'FU 0.77'!$E7</f>
        <v>66.413658780000006</v>
      </c>
      <c r="J7" s="15">
        <f>'FU 0.78'!$E7</f>
        <v>65.965555320000007</v>
      </c>
      <c r="K7" s="15">
        <f>'FU 0.79'!$E7</f>
        <v>65.517442650000007</v>
      </c>
      <c r="L7" s="15">
        <f>'FU 0.8'!$E7</f>
        <v>65.069320210000001</v>
      </c>
      <c r="M7" s="15">
        <f>'FU 0.81'!$E7</f>
        <v>64.621187390000003</v>
      </c>
      <c r="N7" s="15">
        <f>'FU 0.82'!$E7</f>
        <v>64.173043519999993</v>
      </c>
      <c r="O7" s="15">
        <f>'FU 0.83'!$E7</f>
        <v>63.724887799999998</v>
      </c>
      <c r="P7" s="15">
        <f>'FU 0.84'!$E7</f>
        <v>63.276719370000002</v>
      </c>
      <c r="Q7" s="15">
        <f t="shared" si="1"/>
        <v>62.828550940000007</v>
      </c>
    </row>
    <row r="8" spans="1:17" x14ac:dyDescent="0.25">
      <c r="A8">
        <f>'FU 0.7'!A8</f>
        <v>0.66</v>
      </c>
      <c r="B8" s="15">
        <f>'FU 0.7'!E8</f>
        <v>69.995781030000003</v>
      </c>
      <c r="C8" s="15">
        <f t="shared" si="0"/>
        <v>69.554079444999999</v>
      </c>
      <c r="D8" s="15">
        <f>'FU 0.72'!$E8</f>
        <v>69.112377859999995</v>
      </c>
      <c r="E8" s="15">
        <f>'FU 0.73'!$E8</f>
        <v>68.670665470000003</v>
      </c>
      <c r="F8" s="15">
        <f>'FU 0.74'!$E8</f>
        <v>68.228945400000001</v>
      </c>
      <c r="G8" s="15">
        <f>'FU 0.75'!$E8</f>
        <v>67.787217269999999</v>
      </c>
      <c r="H8" s="15">
        <f>'FU 0.76'!$E8</f>
        <v>67.345480670000001</v>
      </c>
      <c r="I8" s="15">
        <f>'FU 0.77'!$E8</f>
        <v>66.903735150000003</v>
      </c>
      <c r="J8" s="15">
        <f>'FU 0.78'!$E8</f>
        <v>66.461980199999999</v>
      </c>
      <c r="K8" s="15">
        <f>'FU 0.79'!$E8</f>
        <v>66.020215289999996</v>
      </c>
      <c r="L8" s="15">
        <f>'FU 0.8'!$E8</f>
        <v>65.57843982</v>
      </c>
      <c r="M8" s="15">
        <f>'FU 0.81'!$E8</f>
        <v>65.136653100000004</v>
      </c>
      <c r="N8" s="15">
        <f>'FU 0.82'!$E8</f>
        <v>64.694854399999997</v>
      </c>
      <c r="O8" s="15">
        <f>'FU 0.83'!$E8</f>
        <v>64.253042859999994</v>
      </c>
      <c r="P8" s="15">
        <f>'FU 0.84'!$E8</f>
        <v>63.81121752</v>
      </c>
      <c r="Q8" s="15">
        <f t="shared" si="1"/>
        <v>63.369392180000006</v>
      </c>
    </row>
    <row r="9" spans="1:17" x14ac:dyDescent="0.25">
      <c r="A9">
        <f>'FU 0.7'!A9</f>
        <v>0.67</v>
      </c>
      <c r="B9" s="15">
        <f>'FU 0.7'!E9</f>
        <v>70.44129959</v>
      </c>
      <c r="C9" s="15">
        <f t="shared" si="0"/>
        <v>70.005947745</v>
      </c>
      <c r="D9" s="15">
        <f>'FU 0.72'!$E9</f>
        <v>69.570595900000001</v>
      </c>
      <c r="E9" s="15">
        <f>'FU 0.73'!$E9</f>
        <v>69.135232340000002</v>
      </c>
      <c r="F9" s="15">
        <f>'FU 0.74'!$E9</f>
        <v>68.699860479999998</v>
      </c>
      <c r="G9" s="15">
        <f>'FU 0.75'!$E9</f>
        <v>68.264479890000004</v>
      </c>
      <c r="H9" s="15">
        <f>'FU 0.76'!$E9</f>
        <v>67.829090120000004</v>
      </c>
      <c r="I9" s="15">
        <f>'FU 0.77'!$E9</f>
        <v>67.393690669999998</v>
      </c>
      <c r="J9" s="15">
        <f>'FU 0.78'!$E9</f>
        <v>66.958281009999993</v>
      </c>
      <c r="K9" s="15">
        <f>'FU 0.79'!$E9</f>
        <v>66.522860530000003</v>
      </c>
      <c r="L9" s="15">
        <f>'FU 0.8'!$E9</f>
        <v>66.087428579999994</v>
      </c>
      <c r="M9" s="15">
        <f>'FU 0.81'!$E9</f>
        <v>65.651984420000005</v>
      </c>
      <c r="N9" s="15">
        <f>'FU 0.82'!$E9</f>
        <v>65.216527220000003</v>
      </c>
      <c r="O9" s="15">
        <f>'FU 0.83'!$E9</f>
        <v>64.781056050000004</v>
      </c>
      <c r="P9" s="15">
        <f>'FU 0.84'!$E9</f>
        <v>64.345569830000002</v>
      </c>
      <c r="Q9" s="15">
        <f t="shared" si="1"/>
        <v>63.910083610000001</v>
      </c>
    </row>
    <row r="10" spans="1:17" x14ac:dyDescent="0.25">
      <c r="A10">
        <f>'FU 0.7'!A10</f>
        <v>0.68</v>
      </c>
      <c r="B10" s="15">
        <f>'FU 0.7'!E10</f>
        <v>70.886707509999994</v>
      </c>
      <c r="C10" s="15">
        <f t="shared" si="0"/>
        <v>70.457702325</v>
      </c>
      <c r="D10" s="15">
        <f>'FU 0.72'!$E10</f>
        <v>70.028697140000006</v>
      </c>
      <c r="E10" s="15">
        <f>'FU 0.73'!$E10</f>
        <v>69.599679249999994</v>
      </c>
      <c r="F10" s="15">
        <f>'FU 0.74'!$E10</f>
        <v>69.170652329999996</v>
      </c>
      <c r="G10" s="15">
        <f>'FU 0.75'!$E10</f>
        <v>68.741615920000001</v>
      </c>
      <c r="H10" s="15">
        <f>'FU 0.76'!$E10</f>
        <v>68.312569530000005</v>
      </c>
      <c r="I10" s="15">
        <f>'FU 0.77'!$E10</f>
        <v>67.883512609999997</v>
      </c>
      <c r="J10" s="15">
        <f>'FU 0.78'!$E10</f>
        <v>67.454444580000001</v>
      </c>
      <c r="K10" s="15">
        <f>'FU 0.79'!$E10</f>
        <v>67.025364760000002</v>
      </c>
      <c r="L10" s="15">
        <f>'FU 0.8'!$E10</f>
        <v>66.596272450000001</v>
      </c>
      <c r="M10" s="15">
        <f>'FU 0.81'!$E10</f>
        <v>66.167166820000006</v>
      </c>
      <c r="N10" s="15">
        <f>'FU 0.82'!$E10</f>
        <v>65.738046949999998</v>
      </c>
      <c r="O10" s="15">
        <f>'FU 0.83'!$E10</f>
        <v>65.308911820000006</v>
      </c>
      <c r="P10" s="15">
        <f>'FU 0.84'!$E10</f>
        <v>64.879760239999996</v>
      </c>
      <c r="Q10" s="15">
        <f t="shared" si="1"/>
        <v>64.450608659999986</v>
      </c>
    </row>
    <row r="11" spans="1:17" x14ac:dyDescent="0.25">
      <c r="A11">
        <f>'FU 0.7'!A11</f>
        <v>0.69</v>
      </c>
      <c r="B11" s="15">
        <f>'FU 0.7'!E11</f>
        <v>71.331993120000007</v>
      </c>
      <c r="C11" s="15">
        <f t="shared" si="0"/>
        <v>70.909331140000006</v>
      </c>
      <c r="D11" s="15">
        <f>'FU 0.72'!$E11</f>
        <v>70.486669160000005</v>
      </c>
      <c r="E11" s="15">
        <f>'FU 0.73'!$E11</f>
        <v>70.063993330000002</v>
      </c>
      <c r="F11" s="15">
        <f>'FU 0.74'!$E11</f>
        <v>69.641307659999995</v>
      </c>
      <c r="G11" s="15">
        <f>'FU 0.75'!$E11</f>
        <v>69.218611640000006</v>
      </c>
      <c r="H11" s="15">
        <f>'FU 0.76'!$E11</f>
        <v>68.795904730000004</v>
      </c>
      <c r="I11" s="15">
        <f>'FU 0.77'!$E11</f>
        <v>68.373186329999996</v>
      </c>
      <c r="J11" s="15">
        <f>'FU 0.78'!$E11</f>
        <v>67.950455779999999</v>
      </c>
      <c r="K11" s="15">
        <f>'FU 0.79'!$E11</f>
        <v>67.527712359999995</v>
      </c>
      <c r="L11" s="15">
        <f>'FU 0.8'!$E11</f>
        <v>67.104955250000003</v>
      </c>
      <c r="M11" s="15">
        <f>'FU 0.81'!$E11</f>
        <v>66.682183570000007</v>
      </c>
      <c r="N11" s="15">
        <f>'FU 0.82'!$E11</f>
        <v>66.259396280000004</v>
      </c>
      <c r="O11" s="15">
        <f>'FU 0.83'!$E11</f>
        <v>65.836592249999995</v>
      </c>
      <c r="P11" s="15">
        <f>'FU 0.84'!$E11</f>
        <v>65.413770130000003</v>
      </c>
      <c r="Q11" s="15">
        <f t="shared" si="1"/>
        <v>64.990948010000011</v>
      </c>
    </row>
    <row r="12" spans="1:17" x14ac:dyDescent="0.25">
      <c r="A12">
        <f>'FU 0.7'!A12</f>
        <v>0.7</v>
      </c>
      <c r="B12" s="15">
        <f>'FU 0.7'!E12</f>
        <v>71.777143010000003</v>
      </c>
      <c r="C12" s="15">
        <f t="shared" si="0"/>
        <v>71.360820324999992</v>
      </c>
      <c r="D12" s="15">
        <f>'FU 0.72'!$E12</f>
        <v>70.944497639999994</v>
      </c>
      <c r="E12" s="15">
        <f>'FU 0.73'!$E12</f>
        <v>70.528159799999997</v>
      </c>
      <c r="F12" s="15">
        <f>'FU 0.74'!$E12</f>
        <v>70.111811189999997</v>
      </c>
      <c r="G12" s="15">
        <f>'FU 0.75'!$E12</f>
        <v>69.695451259999999</v>
      </c>
      <c r="H12" s="15">
        <f>'FU 0.76'!$E12</f>
        <v>69.279079390000007</v>
      </c>
      <c r="I12" s="15">
        <f>'FU 0.77'!$E12</f>
        <v>68.862694919999996</v>
      </c>
      <c r="J12" s="15">
        <f>'FU 0.78'!$E12</f>
        <v>68.446297139999999</v>
      </c>
      <c r="K12" s="15">
        <f>'FU 0.79'!$E12</f>
        <v>68.029885219999997</v>
      </c>
      <c r="L12" s="15">
        <f>'FU 0.8'!$E12</f>
        <v>67.613458260000002</v>
      </c>
      <c r="M12" s="15">
        <f>'FU 0.81'!$E12</f>
        <v>67.197015269999994</v>
      </c>
      <c r="N12" s="15">
        <f>'FU 0.82'!$E12</f>
        <v>66.780555109999995</v>
      </c>
      <c r="O12" s="15">
        <f>'FU 0.83'!$E12</f>
        <v>66.364076470000001</v>
      </c>
      <c r="P12" s="15">
        <f>'FU 0.84'!$E12</f>
        <v>65.947577890000005</v>
      </c>
      <c r="Q12" s="15">
        <f t="shared" si="1"/>
        <v>65.53107931000001</v>
      </c>
    </row>
    <row r="13" spans="1:17" x14ac:dyDescent="0.25">
      <c r="A13">
        <f>'FU 0.7'!A13</f>
        <v>0.71</v>
      </c>
      <c r="B13" s="15">
        <f>'FU 0.7'!E13</f>
        <v>72.222141730000004</v>
      </c>
      <c r="C13" s="15">
        <f t="shared" si="0"/>
        <v>71.812153880000011</v>
      </c>
      <c r="D13" s="15">
        <f>'FU 0.72'!$E13</f>
        <v>71.402166030000004</v>
      </c>
      <c r="E13" s="15">
        <f>'FU 0.73'!$E13</f>
        <v>70.992161550000006</v>
      </c>
      <c r="F13" s="15">
        <f>'FU 0.74'!$E13</f>
        <v>70.582145229999995</v>
      </c>
      <c r="G13" s="15">
        <f>'FU 0.75'!$E13</f>
        <v>70.172116450000004</v>
      </c>
      <c r="H13" s="15">
        <f>'FU 0.76'!$E13</f>
        <v>69.762074549999994</v>
      </c>
      <c r="I13" s="15">
        <f>'FU 0.77'!$E13</f>
        <v>69.352018779999995</v>
      </c>
      <c r="J13" s="15">
        <f>'FU 0.78'!$E13</f>
        <v>68.941948330000002</v>
      </c>
      <c r="K13" s="15">
        <f>'FU 0.79'!$E13</f>
        <v>68.531862290000007</v>
      </c>
      <c r="L13" s="15">
        <f>'FU 0.8'!$E13</f>
        <v>68.121759659999995</v>
      </c>
      <c r="M13" s="15">
        <f>'FU 0.81'!$E13</f>
        <v>67.711639300000002</v>
      </c>
      <c r="N13" s="15">
        <f>'FU 0.82'!$E13</f>
        <v>67.301499939999999</v>
      </c>
      <c r="O13" s="15">
        <f>'FU 0.83'!$E13</f>
        <v>66.891340119999995</v>
      </c>
      <c r="P13" s="15">
        <f>'FU 0.84'!$E13</f>
        <v>66.481158160000007</v>
      </c>
      <c r="Q13" s="15">
        <f t="shared" si="1"/>
        <v>66.070976200000018</v>
      </c>
    </row>
    <row r="14" spans="1:17" x14ac:dyDescent="0.25">
      <c r="A14">
        <f>'FU 0.7'!A14</f>
        <v>0.72</v>
      </c>
      <c r="B14" s="15">
        <f>'FU 0.7'!E14</f>
        <v>72.666971329999996</v>
      </c>
      <c r="C14" s="15">
        <f t="shared" si="0"/>
        <v>72.26331322499999</v>
      </c>
      <c r="D14" s="15">
        <f>'FU 0.72'!$E14</f>
        <v>71.859655119999999</v>
      </c>
      <c r="E14" s="15">
        <f>'FU 0.73'!$E14</f>
        <v>71.455978669999993</v>
      </c>
      <c r="F14" s="15">
        <f>'FU 0.74'!$E14</f>
        <v>71.052289149999993</v>
      </c>
      <c r="G14" s="15">
        <f>'FU 0.75'!$E14</f>
        <v>70.648585870000005</v>
      </c>
      <c r="H14" s="15">
        <f>'FU 0.76'!$E14</f>
        <v>70.244868089999997</v>
      </c>
      <c r="I14" s="15">
        <f>'FU 0.77'!$E14</f>
        <v>69.841134960000005</v>
      </c>
      <c r="J14" s="15">
        <f>'FU 0.78'!$E14</f>
        <v>69.437385579999997</v>
      </c>
      <c r="K14" s="15">
        <f>'FU 0.79'!$E14</f>
        <v>69.033618919999995</v>
      </c>
      <c r="L14" s="15">
        <f>'FU 0.8'!$E14</f>
        <v>68.629833849999997</v>
      </c>
      <c r="M14" s="15">
        <f>'FU 0.81'!$E14</f>
        <v>68.226029089999997</v>
      </c>
      <c r="N14" s="15">
        <f>'FU 0.82'!$E14</f>
        <v>67.822203180000002</v>
      </c>
      <c r="O14" s="15">
        <f>'FU 0.83'!$E14</f>
        <v>67.418354469999997</v>
      </c>
      <c r="P14" s="15">
        <f>'FU 0.84'!$E14</f>
        <v>67.014481059999994</v>
      </c>
      <c r="Q14" s="15">
        <f t="shared" si="1"/>
        <v>66.610607649999992</v>
      </c>
    </row>
    <row r="15" spans="1:17" x14ac:dyDescent="0.25">
      <c r="A15">
        <f>'FU 0.7'!A15</f>
        <v>0.73</v>
      </c>
      <c r="B15" s="15">
        <f>'FU 0.7'!E15</f>
        <v>73.111610819999996</v>
      </c>
      <c r="C15" s="15">
        <f t="shared" si="0"/>
        <v>72.714276595000001</v>
      </c>
      <c r="D15" s="15">
        <f>'FU 0.72'!$E15</f>
        <v>72.316942370000007</v>
      </c>
      <c r="E15" s="15">
        <f>'FU 0.73'!$E15</f>
        <v>71.919587800000002</v>
      </c>
      <c r="F15" s="15">
        <f>'FU 0.74'!$E15</f>
        <v>71.52221874</v>
      </c>
      <c r="G15" s="15">
        <f>'FU 0.75'!$E15</f>
        <v>71.124834419999999</v>
      </c>
      <c r="H15" s="15">
        <f>'FU 0.76'!$E15</f>
        <v>70.727433970000007</v>
      </c>
      <c r="I15" s="15">
        <f>'FU 0.77'!$E15</f>
        <v>70.330016450000002</v>
      </c>
      <c r="J15" s="15">
        <f>'FU 0.78'!$E15</f>
        <v>69.93258084</v>
      </c>
      <c r="K15" s="15">
        <f>'FU 0.79'!$E15</f>
        <v>69.535125980000004</v>
      </c>
      <c r="L15" s="15">
        <f>'FU 0.8'!$E15</f>
        <v>69.137650559999997</v>
      </c>
      <c r="M15" s="15">
        <f>'FU 0.81'!$E15</f>
        <v>68.740153140000004</v>
      </c>
      <c r="N15" s="15">
        <f>'FU 0.82'!$E15</f>
        <v>68.342632050000006</v>
      </c>
      <c r="O15" s="15">
        <f>'FU 0.83'!$E15</f>
        <v>67.945085399999996</v>
      </c>
      <c r="P15" s="15">
        <f>'FU 0.84'!$E15</f>
        <v>67.547511</v>
      </c>
      <c r="Q15" s="15">
        <f t="shared" si="1"/>
        <v>67.149936600000004</v>
      </c>
    </row>
    <row r="16" spans="1:17" x14ac:dyDescent="0.25">
      <c r="A16">
        <f>'FU 0.7'!A16</f>
        <v>0.74</v>
      </c>
      <c r="B16" s="15">
        <f>'FU 0.7'!E16</f>
        <v>73.556035620000003</v>
      </c>
      <c r="C16" s="15">
        <f t="shared" si="0"/>
        <v>73.165018465000003</v>
      </c>
      <c r="D16" s="15">
        <f>'FU 0.72'!$E16</f>
        <v>72.774001310000003</v>
      </c>
      <c r="E16" s="15">
        <f>'FU 0.73'!$E16</f>
        <v>72.38296149</v>
      </c>
      <c r="F16" s="15">
        <f>'FU 0.74'!$E16</f>
        <v>71.991905509999995</v>
      </c>
      <c r="G16" s="15">
        <f>'FU 0.75'!$E16</f>
        <v>71.600832479999994</v>
      </c>
      <c r="H16" s="15">
        <f>'FU 0.76'!$E16</f>
        <v>71.209741429999994</v>
      </c>
      <c r="I16" s="15">
        <f>'FU 0.77'!$E16</f>
        <v>70.818631300000007</v>
      </c>
      <c r="J16" s="15">
        <f>'FU 0.78'!$E16</f>
        <v>70.427500899999998</v>
      </c>
      <c r="K16" s="15">
        <f>'FU 0.79'!$E16</f>
        <v>70.036348910000001</v>
      </c>
      <c r="L16" s="15">
        <f>'FU 0.8'!$E16</f>
        <v>69.645173830000005</v>
      </c>
      <c r="M16" s="15">
        <f>'FU 0.81'!$E16</f>
        <v>69.253973990000006</v>
      </c>
      <c r="N16" s="15">
        <f>'FU 0.82'!$E16</f>
        <v>68.862747490000004</v>
      </c>
      <c r="O16" s="15">
        <f>'FU 0.83'!$E16</f>
        <v>68.471492130000001</v>
      </c>
      <c r="P16" s="15">
        <f>'FU 0.84'!$E16</f>
        <v>68.080205379999995</v>
      </c>
      <c r="Q16" s="15">
        <f t="shared" si="1"/>
        <v>67.688918629999989</v>
      </c>
    </row>
    <row r="17" spans="1:17" x14ac:dyDescent="0.25">
      <c r="A17">
        <f>'FU 0.7'!A17</f>
        <v>0.75</v>
      </c>
      <c r="B17" s="15">
        <f>'FU 0.7'!E17</f>
        <v>74.000216519999995</v>
      </c>
      <c r="C17" s="15">
        <f t="shared" si="0"/>
        <v>73.615508474999999</v>
      </c>
      <c r="D17" s="15">
        <f>'FU 0.72'!$E17</f>
        <v>73.230800430000002</v>
      </c>
      <c r="E17" s="15">
        <f>'FU 0.73'!$E17</f>
        <v>72.846066989999997</v>
      </c>
      <c r="F17" s="15">
        <f>'FU 0.74'!$E17</f>
        <v>72.461315409999997</v>
      </c>
      <c r="G17" s="15">
        <f>'FU 0.75'!$E17</f>
        <v>72.076544679999998</v>
      </c>
      <c r="H17" s="15">
        <f>'FU 0.76'!$E17</f>
        <v>71.691753689999999</v>
      </c>
      <c r="I17" s="15">
        <f>'FU 0.77'!$E17</f>
        <v>71.306941210000005</v>
      </c>
      <c r="J17" s="15">
        <f>'FU 0.78'!$E17</f>
        <v>70.922105880000004</v>
      </c>
      <c r="K17" s="15">
        <f>'FU 0.79'!$E17</f>
        <v>70.537246159999995</v>
      </c>
      <c r="L17" s="15">
        <f>'FU 0.8'!$E17</f>
        <v>70.152360329999993</v>
      </c>
      <c r="M17" s="15">
        <f>'FU 0.81'!$E17</f>
        <v>69.767446440000001</v>
      </c>
      <c r="N17" s="15">
        <f>'FU 0.82'!$E17</f>
        <v>69.382502279999997</v>
      </c>
      <c r="O17" s="15">
        <f>'FU 0.83'!$E17</f>
        <v>68.997525269999997</v>
      </c>
      <c r="P17" s="15">
        <f>'FU 0.84'!$E17</f>
        <v>68.612512460000005</v>
      </c>
      <c r="Q17" s="15">
        <f t="shared" si="1"/>
        <v>68.227499650000013</v>
      </c>
    </row>
    <row r="18" spans="1:17" x14ac:dyDescent="0.25">
      <c r="A18">
        <f>'FU 0.7'!A18</f>
        <v>0.76</v>
      </c>
      <c r="B18" s="15">
        <f>'FU 0.7'!E18</f>
        <v>74.444118660000001</v>
      </c>
      <c r="C18" s="15">
        <f t="shared" si="0"/>
        <v>74.06571034000001</v>
      </c>
      <c r="D18" s="15">
        <f>'FU 0.72'!$E18</f>
        <v>73.687302020000004</v>
      </c>
      <c r="E18" s="15">
        <f>'FU 0.73'!$E18</f>
        <v>73.308865049999994</v>
      </c>
      <c r="F18" s="15">
        <f>'FU 0.74'!$E18</f>
        <v>72.930407599999995</v>
      </c>
      <c r="G18" s="15">
        <f>'FU 0.75'!$E18</f>
        <v>72.551928480000001</v>
      </c>
      <c r="H18" s="15">
        <f>'FU 0.76'!$E18</f>
        <v>72.173426419999998</v>
      </c>
      <c r="I18" s="15">
        <f>'FU 0.77'!$E18</f>
        <v>71.794899979999997</v>
      </c>
      <c r="J18" s="15">
        <f>'FU 0.78'!$E18</f>
        <v>71.416347579999993</v>
      </c>
      <c r="K18" s="15">
        <f>'FU 0.79'!$E18</f>
        <v>71.037767419999994</v>
      </c>
      <c r="L18" s="15">
        <f>'FU 0.8'!$E18</f>
        <v>70.659157489999998</v>
      </c>
      <c r="M18" s="15">
        <f>'FU 0.81'!$E18</f>
        <v>70.280515500000007</v>
      </c>
      <c r="N18" s="15">
        <f>'FU 0.82'!$E18</f>
        <v>69.901838830000003</v>
      </c>
      <c r="O18" s="15">
        <f>'FU 0.83'!$E18</f>
        <v>69.523124460000005</v>
      </c>
      <c r="P18" s="15">
        <f>'FU 0.84'!$E18</f>
        <v>69.14436886</v>
      </c>
      <c r="Q18" s="15">
        <f t="shared" si="1"/>
        <v>68.765613259999995</v>
      </c>
    </row>
    <row r="19" spans="1:17" x14ac:dyDescent="0.25">
      <c r="A19">
        <f>'FU 0.7'!A19</f>
        <v>0.77</v>
      </c>
      <c r="B19" s="15">
        <f>'FU 0.7'!E19</f>
        <v>74.887700030000005</v>
      </c>
      <c r="C19" s="15">
        <f t="shared" si="0"/>
        <v>74.515580260000007</v>
      </c>
      <c r="D19" s="15">
        <f>'FU 0.72'!$E19</f>
        <v>74.143460489999995</v>
      </c>
      <c r="E19" s="15">
        <f>'FU 0.73'!$E19</f>
        <v>73.771308169999998</v>
      </c>
      <c r="F19" s="15">
        <f>'FU 0.74'!$E19</f>
        <v>73.399132530000003</v>
      </c>
      <c r="G19" s="15">
        <f>'FU 0.75'!$E19</f>
        <v>73.026932189999997</v>
      </c>
      <c r="H19" s="15">
        <f>'FU 0.76'!$E19</f>
        <v>72.654705660000005</v>
      </c>
      <c r="I19" s="15">
        <f>'FU 0.77'!$E19</f>
        <v>72.282451249999994</v>
      </c>
      <c r="J19" s="15">
        <f>'FU 0.78'!$E19</f>
        <v>71.910167079999994</v>
      </c>
      <c r="K19" s="15">
        <f>'FU 0.79'!$E19</f>
        <v>71.53785105</v>
      </c>
      <c r="L19" s="15">
        <f>'FU 0.8'!$E19</f>
        <v>71.165500750000007</v>
      </c>
      <c r="M19" s="15">
        <f>'FU 0.81'!$E19</f>
        <v>70.793113480000002</v>
      </c>
      <c r="N19" s="15">
        <f>'FU 0.82'!$E19</f>
        <v>70.420686090000004</v>
      </c>
      <c r="O19" s="15">
        <f>'FU 0.83'!$E19</f>
        <v>70.048214970000004</v>
      </c>
      <c r="P19" s="15">
        <f>'FU 0.84'!$E19</f>
        <v>69.675695880000006</v>
      </c>
      <c r="Q19" s="15">
        <f t="shared" si="1"/>
        <v>69.303176790000009</v>
      </c>
    </row>
    <row r="20" spans="1:17" x14ac:dyDescent="0.25">
      <c r="A20">
        <f>'FU 0.7'!A20</f>
        <v>0.78</v>
      </c>
      <c r="B20" s="15">
        <f>'FU 0.7'!E20</f>
        <v>75.330909469999995</v>
      </c>
      <c r="C20" s="15">
        <f t="shared" si="0"/>
        <v>74.965064804999997</v>
      </c>
      <c r="D20" s="15">
        <f>'FU 0.72'!$E20</f>
        <v>74.59922014</v>
      </c>
      <c r="E20" s="15">
        <f>'FU 0.73'!$E20</f>
        <v>74.233338169999996</v>
      </c>
      <c r="F20" s="15">
        <f>'FU 0.74'!$E20</f>
        <v>73.867429419999993</v>
      </c>
      <c r="G20" s="15">
        <f>'FU 0.75'!$E20</f>
        <v>73.501492279999994</v>
      </c>
      <c r="H20" s="15">
        <f>'FU 0.76'!$E20</f>
        <v>73.135524950000004</v>
      </c>
      <c r="I20" s="15">
        <f>'FU 0.77'!$E20</f>
        <v>72.769525439999995</v>
      </c>
      <c r="J20" s="15">
        <f>'FU 0.78'!$E20</f>
        <v>72.403491489999993</v>
      </c>
      <c r="K20" s="15">
        <f>'FU 0.79'!$E20</f>
        <v>72.037420569999995</v>
      </c>
      <c r="L20" s="15">
        <f>'FU 0.8'!$E20</f>
        <v>71.671309820000005</v>
      </c>
      <c r="M20" s="15">
        <f>'FU 0.81'!$E20</f>
        <v>71.305155940000006</v>
      </c>
      <c r="N20" s="15">
        <f>'FU 0.82'!$E20</f>
        <v>70.938955129999997</v>
      </c>
      <c r="O20" s="15">
        <f>'FU 0.83'!$E20</f>
        <v>70.572702989999996</v>
      </c>
      <c r="P20" s="15">
        <f>'FU 0.84'!$E20</f>
        <v>70.206394329999995</v>
      </c>
      <c r="Q20" s="15">
        <f t="shared" si="1"/>
        <v>69.840085669999993</v>
      </c>
    </row>
    <row r="21" spans="1:17" x14ac:dyDescent="0.25">
      <c r="A21">
        <f>'FU 0.7'!A21</f>
        <v>0.79</v>
      </c>
      <c r="B21" s="15">
        <f>'FU 0.7'!E21</f>
        <v>75.773684000000003</v>
      </c>
      <c r="C21" s="15">
        <f t="shared" si="0"/>
        <v>75.414098039999999</v>
      </c>
      <c r="D21" s="15">
        <f>'FU 0.72'!$E21</f>
        <v>75.054512079999995</v>
      </c>
      <c r="E21" s="15">
        <f>'FU 0.73'!$E21</f>
        <v>74.694882969999995</v>
      </c>
      <c r="F21" s="15">
        <f>'FU 0.74'!$E21</f>
        <v>74.335222810000005</v>
      </c>
      <c r="G21" s="15">
        <f>'FU 0.75'!$E21</f>
        <v>73.975529660000007</v>
      </c>
      <c r="H21" s="15">
        <f>'FU 0.76'!$E21</f>
        <v>73.615801360000006</v>
      </c>
      <c r="I21" s="15">
        <f>'FU 0.77'!$E21</f>
        <v>73.256035490000002</v>
      </c>
      <c r="J21" s="15">
        <f>'FU 0.78'!$E21</f>
        <v>72.896229320000003</v>
      </c>
      <c r="K21" s="15">
        <f>'FU 0.79'!$E21</f>
        <v>72.536379760000003</v>
      </c>
      <c r="L21" s="15">
        <f>'FU 0.8'!$E21</f>
        <v>72.176483320000003</v>
      </c>
      <c r="M21" s="15">
        <f>'FU 0.81'!$E21</f>
        <v>71.816535930000001</v>
      </c>
      <c r="N21" s="15">
        <f>'FU 0.82'!$E21</f>
        <v>71.456532920000001</v>
      </c>
      <c r="O21" s="15">
        <f>'FU 0.83'!$E21</f>
        <v>71.096468799999997</v>
      </c>
      <c r="P21" s="15">
        <f>'FU 0.84'!$E21</f>
        <v>70.7363371</v>
      </c>
      <c r="Q21" s="15">
        <f t="shared" si="1"/>
        <v>70.376205400000003</v>
      </c>
    </row>
    <row r="22" spans="1:17" x14ac:dyDescent="0.25">
      <c r="A22">
        <f>'FU 0.7'!A22</f>
        <v>0.8</v>
      </c>
      <c r="B22" s="15">
        <f>'FU 0.7'!E22</f>
        <v>76.215945059999996</v>
      </c>
      <c r="C22" s="15">
        <f t="shared" si="0"/>
        <v>75.862597534999992</v>
      </c>
      <c r="D22" s="15">
        <f>'FU 0.72'!$E22</f>
        <v>75.509250010000002</v>
      </c>
      <c r="E22" s="15">
        <f>'FU 0.73'!$E22</f>
        <v>75.155852030000005</v>
      </c>
      <c r="F22" s="15">
        <f>'FU 0.74'!$E22</f>
        <v>74.802417629999994</v>
      </c>
      <c r="G22" s="15">
        <f>'FU 0.75'!$E22</f>
        <v>74.448944440000005</v>
      </c>
      <c r="H22" s="15">
        <f>'FU 0.76'!$E22</f>
        <v>74.095429820000007</v>
      </c>
      <c r="I22" s="15">
        <f>'FU 0.77'!$E22</f>
        <v>73.741870779999999</v>
      </c>
      <c r="J22" s="15">
        <f>'FU 0.78'!$E22</f>
        <v>73.388263960000003</v>
      </c>
      <c r="K22" s="15">
        <f>'FU 0.79'!$E22</f>
        <v>73.03460552</v>
      </c>
      <c r="L22" s="15">
        <f>'FU 0.8'!$E22</f>
        <v>72.680891079999995</v>
      </c>
      <c r="M22" s="15">
        <f>'FU 0.81'!$E22</f>
        <v>72.327115559999996</v>
      </c>
      <c r="N22" s="15">
        <f>'FU 0.82'!$E22</f>
        <v>71.973273059999997</v>
      </c>
      <c r="O22" s="15">
        <f>'FU 0.83'!$E22</f>
        <v>71.619356600000003</v>
      </c>
      <c r="P22" s="15">
        <f>'FU 0.84'!$E22</f>
        <v>71.26535792</v>
      </c>
      <c r="Q22" s="15">
        <f t="shared" si="1"/>
        <v>70.911359239999996</v>
      </c>
    </row>
    <row r="23" spans="1:17" x14ac:dyDescent="0.25">
      <c r="A23">
        <f>'FU 0.7'!A23</f>
        <v>0.81</v>
      </c>
      <c r="B23" s="15">
        <f>'FU 0.7'!E23</f>
        <v>76.657593169999998</v>
      </c>
      <c r="C23" s="15">
        <f t="shared" si="0"/>
        <v>76.310458609999998</v>
      </c>
      <c r="D23" s="15">
        <f>'FU 0.72'!$E23</f>
        <v>75.963324049999997</v>
      </c>
      <c r="E23" s="15">
        <f>'FU 0.73'!$E23</f>
        <v>75.616129740000005</v>
      </c>
      <c r="F23" s="15">
        <f>'FU 0.74'!$E23</f>
        <v>75.268892129999998</v>
      </c>
      <c r="G23" s="15">
        <f>'FU 0.75'!$E23</f>
        <v>74.921608289999995</v>
      </c>
      <c r="H23" s="15">
        <f>'FU 0.76'!$E23</f>
        <v>74.574274900000006</v>
      </c>
      <c r="I23" s="15">
        <f>'FU 0.77'!$E23</f>
        <v>74.226888209999998</v>
      </c>
      <c r="J23" s="15">
        <f>'FU 0.78'!$E23</f>
        <v>73.879443960000003</v>
      </c>
      <c r="K23" s="15">
        <f>'FU 0.79'!$E23</f>
        <v>73.531937290000002</v>
      </c>
      <c r="L23" s="15">
        <f>'FU 0.8'!$E23</f>
        <v>73.184362579999998</v>
      </c>
      <c r="M23" s="15">
        <f>'FU 0.81'!$E23</f>
        <v>72.836713320000001</v>
      </c>
      <c r="N23" s="15">
        <f>'FU 0.82'!$E23</f>
        <v>72.48898183</v>
      </c>
      <c r="O23" s="15">
        <f>'FU 0.83'!$E23</f>
        <v>72.141159040000005</v>
      </c>
      <c r="P23" s="15">
        <f>'FU 0.84'!$E23</f>
        <v>71.793234049999995</v>
      </c>
      <c r="Q23" s="15">
        <f t="shared" si="1"/>
        <v>71.445309059999985</v>
      </c>
    </row>
    <row r="24" spans="1:17" x14ac:dyDescent="0.25">
      <c r="A24">
        <f>'FU 0.7'!A24</f>
        <v>0.82</v>
      </c>
      <c r="B24" s="15">
        <f>'FU 0.7'!E24</f>
        <v>77.098500279999996</v>
      </c>
      <c r="C24" s="15">
        <f t="shared" si="0"/>
        <v>76.757546065</v>
      </c>
      <c r="D24" s="15">
        <f>'FU 0.72'!$E24</f>
        <v>76.416591850000003</v>
      </c>
      <c r="E24" s="15">
        <f>'FU 0.73'!$E24</f>
        <v>76.075565789999999</v>
      </c>
      <c r="F24" s="15">
        <f>'FU 0.74'!$E24</f>
        <v>75.734487450000003</v>
      </c>
      <c r="G24" s="15">
        <f>'FU 0.75'!$E24</f>
        <v>75.393353090000005</v>
      </c>
      <c r="H24" s="15">
        <f>'FU 0.76'!$E24</f>
        <v>75.052158430000006</v>
      </c>
      <c r="I24" s="15">
        <f>'FU 0.77'!$E24</f>
        <v>74.710898659999998</v>
      </c>
      <c r="J24" s="15">
        <f>'FU 0.78'!$E24</f>
        <v>74.36956825</v>
      </c>
      <c r="K24" s="15">
        <f>'FU 0.79'!$E24</f>
        <v>74.028160830000004</v>
      </c>
      <c r="L24" s="15">
        <f>'FU 0.8'!$E24</f>
        <v>73.68667533</v>
      </c>
      <c r="M24" s="15">
        <f>'FU 0.81'!$E24</f>
        <v>73.345090569999996</v>
      </c>
      <c r="N24" s="15">
        <f>'FU 0.82'!$E24</f>
        <v>73.003402510000001</v>
      </c>
      <c r="O24" s="15">
        <f>'FU 0.83'!$E24</f>
        <v>72.661598900000001</v>
      </c>
      <c r="P24" s="15">
        <f>'FU 0.84'!$E24</f>
        <v>72.31966482</v>
      </c>
      <c r="Q24" s="15">
        <f t="shared" si="1"/>
        <v>71.977730739999998</v>
      </c>
    </row>
    <row r="25" spans="1:17" x14ac:dyDescent="0.25">
      <c r="A25">
        <f>'FU 0.7'!A25</f>
        <v>0.83</v>
      </c>
      <c r="B25" s="15">
        <f>'FU 0.7'!E25</f>
        <v>77.538498189999999</v>
      </c>
      <c r="C25" s="15">
        <f t="shared" si="0"/>
        <v>77.203681584999998</v>
      </c>
      <c r="D25" s="15">
        <f>'FU 0.72'!$E25</f>
        <v>76.868864979999998</v>
      </c>
      <c r="E25" s="15">
        <f>'FU 0.73'!$E25</f>
        <v>76.533960410000006</v>
      </c>
      <c r="F25" s="15">
        <f>'FU 0.74'!$E25</f>
        <v>76.198997399999996</v>
      </c>
      <c r="G25" s="15">
        <f>'FU 0.75'!$E25</f>
        <v>75.863959309999998</v>
      </c>
      <c r="H25" s="15">
        <f>'FU 0.76'!$E25</f>
        <v>75.528846329999993</v>
      </c>
      <c r="I25" s="15">
        <f>'FU 0.77'!$E25</f>
        <v>75.193652020000002</v>
      </c>
      <c r="J25" s="15">
        <f>'FU 0.78'!$E25</f>
        <v>74.858368979999995</v>
      </c>
      <c r="K25" s="15">
        <f>'FU 0.79'!$E25</f>
        <v>74.522988620000007</v>
      </c>
      <c r="L25" s="15">
        <f>'FU 0.8'!$E25</f>
        <v>74.187500839999998</v>
      </c>
      <c r="M25" s="15">
        <f>'FU 0.81'!$E25</f>
        <v>73.85189373</v>
      </c>
      <c r="N25" s="15">
        <f>'FU 0.82'!$E25</f>
        <v>73.516152980000001</v>
      </c>
      <c r="O25" s="15">
        <f>'FU 0.83'!$E25</f>
        <v>73.180261290000004</v>
      </c>
      <c r="P25" s="15">
        <f>'FU 0.84'!$E25</f>
        <v>72.844197339999994</v>
      </c>
      <c r="Q25" s="15">
        <f t="shared" si="1"/>
        <v>72.508133389999983</v>
      </c>
    </row>
    <row r="26" spans="1:17" x14ac:dyDescent="0.25">
      <c r="A26">
        <f>'FU 0.7'!A26</f>
        <v>0.84</v>
      </c>
      <c r="B26" s="15">
        <f>'FU 0.7'!E26</f>
        <v>77.977366399999994</v>
      </c>
      <c r="C26" s="15">
        <f t="shared" si="0"/>
        <v>77.648629964999998</v>
      </c>
      <c r="D26" s="15">
        <f>'FU 0.72'!$E26</f>
        <v>77.319893530000002</v>
      </c>
      <c r="E26" s="15">
        <f>'FU 0.73'!$E26</f>
        <v>76.991046999999995</v>
      </c>
      <c r="F26" s="15">
        <f>'FU 0.74'!$E26</f>
        <v>76.662119399999995</v>
      </c>
      <c r="G26" s="15">
        <f>'FU 0.75'!$E26</f>
        <v>76.333104030000001</v>
      </c>
      <c r="H26" s="15">
        <f>'FU 0.76'!$E26</f>
        <v>76.003993159999993</v>
      </c>
      <c r="I26" s="15">
        <f>'FU 0.77'!$E26</f>
        <v>75.674777899999995</v>
      </c>
      <c r="J26" s="15">
        <f>'FU 0.78'!$E26</f>
        <v>75.345447910000004</v>
      </c>
      <c r="K26" s="15">
        <f>'FU 0.79'!$E26</f>
        <v>75.015991040000003</v>
      </c>
      <c r="L26" s="15">
        <f>'FU 0.8'!$E26</f>
        <v>74.686392889999993</v>
      </c>
      <c r="M26" s="15">
        <f>'FU 0.81'!$E26</f>
        <v>74.356636159999994</v>
      </c>
      <c r="N26" s="15">
        <f>'FU 0.82'!$E26</f>
        <v>74.026699870000002</v>
      </c>
      <c r="O26" s="15">
        <f>'FU 0.83'!$E26</f>
        <v>73.696558109999998</v>
      </c>
      <c r="P26" s="15">
        <f>'FU 0.84'!$E26</f>
        <v>73.366178399999995</v>
      </c>
      <c r="Q26" s="15">
        <f t="shared" si="1"/>
        <v>73.035798689999993</v>
      </c>
    </row>
    <row r="27" spans="1:17" x14ac:dyDescent="0.25">
      <c r="A27">
        <f>'FU 0.7'!A27</f>
        <v>0.85</v>
      </c>
      <c r="B27" s="15">
        <f>'FU 0.7'!E27</f>
        <v>78.414780890000003</v>
      </c>
      <c r="C27" s="15">
        <f t="shared" si="0"/>
        <v>78.092044490000006</v>
      </c>
      <c r="D27" s="15">
        <f>'FU 0.72'!$E27</f>
        <v>77.769308089999996</v>
      </c>
      <c r="E27" s="15">
        <f>'FU 0.73'!$E27</f>
        <v>77.446430019999994</v>
      </c>
      <c r="F27" s="15">
        <f>'FU 0.74'!$E27</f>
        <v>77.123446740000006</v>
      </c>
      <c r="G27" s="15">
        <f>'FU 0.75'!$E27</f>
        <v>76.800348679999999</v>
      </c>
      <c r="H27" s="15">
        <f>'FU 0.76'!$E27</f>
        <v>76.477124759999995</v>
      </c>
      <c r="I27" s="15">
        <f>'FU 0.77'!$E27</f>
        <v>76.153762040000004</v>
      </c>
      <c r="J27" s="15">
        <f>'FU 0.78'!$E27</f>
        <v>75.830245270000006</v>
      </c>
      <c r="K27" s="15">
        <f>'FU 0.79'!$E27</f>
        <v>75.506556290000006</v>
      </c>
      <c r="L27" s="15">
        <f>'FU 0.8'!$E27</f>
        <v>75.182673199999996</v>
      </c>
      <c r="M27" s="15">
        <f>'FU 0.81'!$E27</f>
        <v>74.858569259999996</v>
      </c>
      <c r="N27" s="15">
        <f>'FU 0.82'!$E27</f>
        <v>74.534211310000003</v>
      </c>
      <c r="O27" s="15">
        <f>'FU 0.83'!$E27</f>
        <v>74.209557469999993</v>
      </c>
      <c r="P27" s="15">
        <f>'FU 0.84'!$E27</f>
        <v>73.884553729999993</v>
      </c>
      <c r="Q27" s="15">
        <f t="shared" si="1"/>
        <v>73.559549989999994</v>
      </c>
    </row>
  </sheetData>
  <conditionalFormatting sqref="B2:Q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workbookViewId="0">
      <selection activeCell="Q2" sqref="Q2"/>
    </sheetView>
  </sheetViews>
  <sheetFormatPr defaultRowHeight="15" x14ac:dyDescent="0.25"/>
  <sheetData>
    <row r="1" spans="1:17" x14ac:dyDescent="0.25">
      <c r="B1">
        <v>0.7</v>
      </c>
      <c r="C1">
        <v>0.71</v>
      </c>
      <c r="D1">
        <v>0.72</v>
      </c>
      <c r="E1">
        <v>0.73</v>
      </c>
      <c r="F1">
        <v>0.74</v>
      </c>
      <c r="G1">
        <v>0.75</v>
      </c>
      <c r="H1">
        <v>0.76</v>
      </c>
      <c r="I1">
        <v>0.77</v>
      </c>
      <c r="J1">
        <v>0.78</v>
      </c>
      <c r="K1">
        <v>0.79</v>
      </c>
      <c r="L1">
        <v>0.8</v>
      </c>
      <c r="M1">
        <v>0.81</v>
      </c>
      <c r="N1">
        <v>0.82</v>
      </c>
      <c r="O1">
        <v>0.83</v>
      </c>
      <c r="P1">
        <v>0.84</v>
      </c>
      <c r="Q1">
        <v>0.85</v>
      </c>
    </row>
    <row r="2" spans="1:17" x14ac:dyDescent="0.25">
      <c r="A2">
        <f>'FU 0.7'!A2</f>
        <v>0.6</v>
      </c>
      <c r="B2" s="16">
        <f>'FU 0.7'!$L2</f>
        <v>9181.9896000000008</v>
      </c>
      <c r="C2" s="16">
        <f>'FU 0.71'!$L2</f>
        <v>9155.3228999999992</v>
      </c>
      <c r="D2" s="16">
        <f>'FU 0.72'!$L2</f>
        <v>9128.5766000000003</v>
      </c>
      <c r="E2" s="16">
        <f>'FU 0.73'!$L2</f>
        <v>9101.7301000000007</v>
      </c>
      <c r="F2" s="16">
        <f>'FU 0.74'!$L2</f>
        <v>9074.7618999999995</v>
      </c>
      <c r="G2" s="16">
        <f>'FU 0.75'!$L2</f>
        <v>9047.6486999999997</v>
      </c>
      <c r="H2" s="16">
        <f>'FU 0.76'!$L2</f>
        <v>9020.3659000000007</v>
      </c>
      <c r="I2" s="16">
        <f>'FU 0.77'!$L2</f>
        <v>8992.8870000000006</v>
      </c>
      <c r="J2" s="16">
        <f>'FU 0.78'!$L2</f>
        <v>8965.1831999999995</v>
      </c>
      <c r="K2" s="16">
        <f>'FU 0.79'!$L2</f>
        <v>8937.2232000000004</v>
      </c>
      <c r="L2" s="16">
        <f>'FU 0.8'!$L2</f>
        <v>8908.9727000000003</v>
      </c>
      <c r="M2" s="16">
        <f>'FU 0.81'!$L2</f>
        <v>8880.3935999999994</v>
      </c>
      <c r="N2" s="16">
        <f>'FU 0.82'!$L2</f>
        <v>8851.4436999999998</v>
      </c>
      <c r="O2" s="16">
        <f>'FU 0.83'!$L2</f>
        <v>8822.0756000000001</v>
      </c>
      <c r="P2" s="16">
        <f>'FU 0.84'!$L2</f>
        <v>8792.2353999999996</v>
      </c>
      <c r="Q2" s="16">
        <f>P2+P2-O2</f>
        <v>8762.395199999999</v>
      </c>
    </row>
    <row r="3" spans="1:17" x14ac:dyDescent="0.25">
      <c r="A3">
        <f>'FU 0.7'!A3</f>
        <v>0.61</v>
      </c>
      <c r="B3" s="16">
        <f>'FU 0.7'!$L3</f>
        <v>8946.893</v>
      </c>
      <c r="C3" s="16">
        <f>'FU 0.71'!$L3</f>
        <v>8920.1558000000005</v>
      </c>
      <c r="D3" s="16">
        <f>'FU 0.72'!$L3</f>
        <v>8893.3361000000004</v>
      </c>
      <c r="E3" s="16">
        <f>'FU 0.73'!$L3</f>
        <v>8866.4130999999998</v>
      </c>
      <c r="F3" s="16">
        <f>'FU 0.74'!$L3</f>
        <v>8839.3649000000005</v>
      </c>
      <c r="G3" s="16">
        <f>'FU 0.75'!$L3</f>
        <v>8812.1681000000008</v>
      </c>
      <c r="H3" s="16">
        <f>'FU 0.76'!$L3</f>
        <v>8784.7975999999999</v>
      </c>
      <c r="I3" s="16">
        <f>'FU 0.77'!$L3</f>
        <v>8757.2266</v>
      </c>
      <c r="J3" s="16">
        <f>'FU 0.78'!$L3</f>
        <v>8729.4259000000002</v>
      </c>
      <c r="K3" s="16">
        <f>'FU 0.79'!$L3</f>
        <v>8701.3637999999992</v>
      </c>
      <c r="L3" s="16">
        <f>'FU 0.8'!$L3</f>
        <v>8673.0053000000007</v>
      </c>
      <c r="M3" s="16">
        <f>'FU 0.81'!$L3</f>
        <v>8644.3117999999995</v>
      </c>
      <c r="N3" s="16">
        <f>'FU 0.82'!$L3</f>
        <v>8615.2404000000006</v>
      </c>
      <c r="O3" s="16">
        <f>'FU 0.83'!$L3</f>
        <v>8585.7427000000007</v>
      </c>
      <c r="P3" s="16">
        <f>'FU 0.84'!$L3</f>
        <v>8555.7639999999992</v>
      </c>
      <c r="Q3" s="16">
        <f t="shared" ref="Q3:Q27" si="0">P3+P3-O3</f>
        <v>8525.7852999999977</v>
      </c>
    </row>
    <row r="4" spans="1:17" x14ac:dyDescent="0.25">
      <c r="A4">
        <f>'FU 0.7'!A4</f>
        <v>0.62</v>
      </c>
      <c r="B4" s="16">
        <f>'FU 0.7'!$L4</f>
        <v>8711.6133000000009</v>
      </c>
      <c r="C4" s="16">
        <f>'FU 0.71'!$L4</f>
        <v>8684.8012999999992</v>
      </c>
      <c r="D4" s="16">
        <f>'FU 0.72'!$L4</f>
        <v>8657.9037000000008</v>
      </c>
      <c r="E4" s="16">
        <f>'FU 0.73'!$L4</f>
        <v>8630.8994999999995</v>
      </c>
      <c r="F4" s="16">
        <f>'FU 0.74'!$L4</f>
        <v>8603.7662</v>
      </c>
      <c r="G4" s="16">
        <f>'FU 0.75'!$L4</f>
        <v>8576.4804999999997</v>
      </c>
      <c r="H4" s="16">
        <f>'FU 0.76'!$L4</f>
        <v>8549.0167000000001</v>
      </c>
      <c r="I4" s="16">
        <f>'FU 0.77'!$L4</f>
        <v>8521.3477999999996</v>
      </c>
      <c r="J4" s="16">
        <f>'FU 0.78'!$L4</f>
        <v>8493.4439999999995</v>
      </c>
      <c r="K4" s="16">
        <f>'FU 0.79'!$L4</f>
        <v>8465.2731000000003</v>
      </c>
      <c r="L4" s="16">
        <f>'FU 0.8'!$L4</f>
        <v>8436.7994999999992</v>
      </c>
      <c r="M4" s="16">
        <f>'FU 0.81'!$L4</f>
        <v>8407.9842000000008</v>
      </c>
      <c r="N4" s="16">
        <f>'FU 0.82'!$L4</f>
        <v>8378.7831000000006</v>
      </c>
      <c r="O4" s="16">
        <f>'FU 0.83'!$L4</f>
        <v>8349.1471999999994</v>
      </c>
      <c r="P4" s="16">
        <f>'FU 0.84'!$L4</f>
        <v>8319.0205999999998</v>
      </c>
      <c r="Q4" s="16">
        <f t="shared" si="0"/>
        <v>8288.8940000000002</v>
      </c>
    </row>
    <row r="5" spans="1:17" x14ac:dyDescent="0.25">
      <c r="A5">
        <f>'FU 0.7'!A5</f>
        <v>0.63</v>
      </c>
      <c r="B5" s="16">
        <f>'FU 0.7'!$L5</f>
        <v>8476.1363999999994</v>
      </c>
      <c r="C5" s="16">
        <f>'FU 0.71'!$L5</f>
        <v>8449.2448999999997</v>
      </c>
      <c r="D5" s="16">
        <f>'FU 0.72'!$L5</f>
        <v>8422.2644</v>
      </c>
      <c r="E5" s="16">
        <f>'FU 0.73'!$L5</f>
        <v>8395.1736000000001</v>
      </c>
      <c r="F5" s="16">
        <f>'FU 0.74'!$L5</f>
        <v>8367.9498999999996</v>
      </c>
      <c r="G5" s="16">
        <f>'FU 0.75'!$L5</f>
        <v>8340.5694000000003</v>
      </c>
      <c r="H5" s="16">
        <f>'FU 0.76'!$L5</f>
        <v>8313.0062999999991</v>
      </c>
      <c r="I5" s="16">
        <f>'FU 0.77'!$L5</f>
        <v>8285.2329000000009</v>
      </c>
      <c r="J5" s="16">
        <f>'FU 0.78'!$L5</f>
        <v>8257.2191000000003</v>
      </c>
      <c r="K5" s="16">
        <f>'FU 0.79'!$L5</f>
        <v>8228.9321</v>
      </c>
      <c r="L5" s="16">
        <f>'FU 0.8'!$L5</f>
        <v>8200.3358000000007</v>
      </c>
      <c r="M5" s="16">
        <f>'FU 0.81'!$L5</f>
        <v>8171.3901999999998</v>
      </c>
      <c r="N5" s="16">
        <f>'FU 0.82'!$L5</f>
        <v>8142.0505999999996</v>
      </c>
      <c r="O5" s="16">
        <f>'FU 0.83'!$L5</f>
        <v>8112.2668000000003</v>
      </c>
      <c r="P5" s="16">
        <f>'FU 0.84'!$L5</f>
        <v>8081.9818999999998</v>
      </c>
      <c r="Q5" s="16">
        <f t="shared" si="0"/>
        <v>8051.6969999999992</v>
      </c>
    </row>
    <row r="6" spans="1:17" x14ac:dyDescent="0.25">
      <c r="A6">
        <f>'FU 0.7'!A6</f>
        <v>0.64</v>
      </c>
      <c r="B6" s="16">
        <f>'FU 0.7'!$L6</f>
        <v>8240.4465999999993</v>
      </c>
      <c r="C6" s="16">
        <f>'FU 0.71'!$L6</f>
        <v>8213.4704000000002</v>
      </c>
      <c r="D6" s="16">
        <f>'FU 0.72'!$L6</f>
        <v>8186.4014999999999</v>
      </c>
      <c r="E6" s="16">
        <f>'FU 0.73'!$L6</f>
        <v>8159.2183999999997</v>
      </c>
      <c r="F6" s="16">
        <f>'FU 0.74'!$L6</f>
        <v>8131.8981999999996</v>
      </c>
      <c r="G6" s="16">
        <f>'FU 0.75'!$L6</f>
        <v>8104.4165000000003</v>
      </c>
      <c r="H6" s="16">
        <f>'FU 0.76'!$L6</f>
        <v>8076.7473</v>
      </c>
      <c r="I6" s="16">
        <f>'FU 0.77'!$L6</f>
        <v>8048.8622999999998</v>
      </c>
      <c r="J6" s="16">
        <f>'FU 0.78'!$L6</f>
        <v>8020.7309999999998</v>
      </c>
      <c r="K6" s="16">
        <f>'FU 0.79'!$L6</f>
        <v>7992.3199000000004</v>
      </c>
      <c r="L6" s="16">
        <f>'FU 0.8'!$L6</f>
        <v>7963.5922</v>
      </c>
      <c r="M6" s="16">
        <f>'FU 0.81'!$L6</f>
        <v>7934.5070999999998</v>
      </c>
      <c r="N6" s="16">
        <f>'FU 0.82'!$L6</f>
        <v>7905.0191000000004</v>
      </c>
      <c r="O6" s="16">
        <f>'FU 0.83'!$L6</f>
        <v>7875.0767999999998</v>
      </c>
      <c r="P6" s="16">
        <f>'FU 0.84'!$L6</f>
        <v>7844.6220999999996</v>
      </c>
      <c r="Q6" s="16">
        <f t="shared" si="0"/>
        <v>7814.1673999999994</v>
      </c>
    </row>
    <row r="7" spans="1:17" x14ac:dyDescent="0.25">
      <c r="A7">
        <f>'FU 0.7'!A7</f>
        <v>0.65</v>
      </c>
      <c r="B7" s="16">
        <f>'FU 0.7'!$L7</f>
        <v>8004.5263999999997</v>
      </c>
      <c r="C7" s="16">
        <f>'FU 0.71'!$L7</f>
        <v>7977.4596000000001</v>
      </c>
      <c r="D7" s="16">
        <f>'FU 0.72'!$L7</f>
        <v>7950.2963</v>
      </c>
      <c r="E7" s="16">
        <f>'FU 0.73'!$L7</f>
        <v>7923.0146000000004</v>
      </c>
      <c r="F7" s="16">
        <f>'FU 0.74'!$L7</f>
        <v>7895.5911999999998</v>
      </c>
      <c r="G7" s="16">
        <f>'FU 0.75'!$L7</f>
        <v>7868.0012999999999</v>
      </c>
      <c r="H7" s="16">
        <f>'FU 0.76'!$L7</f>
        <v>7840.2184999999999</v>
      </c>
      <c r="I7" s="16">
        <f>'FU 0.77'!$L7</f>
        <v>7812.2141000000001</v>
      </c>
      <c r="J7" s="16">
        <f>'FU 0.78'!$L7</f>
        <v>7783.9567999999999</v>
      </c>
      <c r="K7" s="16">
        <f>'FU 0.79'!$L7</f>
        <v>7755.4125999999997</v>
      </c>
      <c r="L7" s="16">
        <f>'FU 0.8'!$L7</f>
        <v>7726.5439999999999</v>
      </c>
      <c r="M7" s="16">
        <f>'FU 0.81'!$L7</f>
        <v>7697.3091999999997</v>
      </c>
      <c r="N7" s="16">
        <f>'FU 0.82'!$L7</f>
        <v>7667.6617999999999</v>
      </c>
      <c r="O7" s="16">
        <f>'FU 0.83'!$L7</f>
        <v>7637.5492000000004</v>
      </c>
      <c r="P7" s="16">
        <f>'FU 0.84'!$L7</f>
        <v>7606.9117999999999</v>
      </c>
      <c r="Q7" s="16">
        <f t="shared" si="0"/>
        <v>7576.2743999999993</v>
      </c>
    </row>
    <row r="8" spans="1:17" x14ac:dyDescent="0.25">
      <c r="A8">
        <f>'FU 0.7'!A8</f>
        <v>0.66</v>
      </c>
      <c r="B8" s="16">
        <f>'FU 0.7'!$L8</f>
        <v>7768.3563000000004</v>
      </c>
      <c r="C8" s="16">
        <f>'FU 0.71'!$L8</f>
        <v>7741.1926000000003</v>
      </c>
      <c r="D8" s="16">
        <f>'FU 0.72'!$L8</f>
        <v>7713.9282000000003</v>
      </c>
      <c r="E8" s="16">
        <f>'FU 0.73'!$L8</f>
        <v>7686.5407999999998</v>
      </c>
      <c r="F8" s="16">
        <f>'FU 0.74'!$L8</f>
        <v>7659.0066999999999</v>
      </c>
      <c r="G8" s="16">
        <f>'FU 0.75'!$L8</f>
        <v>7631.3009000000002</v>
      </c>
      <c r="H8" s="16">
        <f>'FU 0.76'!$L8</f>
        <v>7603.3963000000003</v>
      </c>
      <c r="I8" s="16">
        <f>'FU 0.77'!$L8</f>
        <v>7575.2636000000002</v>
      </c>
      <c r="J8" s="16">
        <f>'FU 0.78'!$L8</f>
        <v>7546.8710000000001</v>
      </c>
      <c r="K8" s="16">
        <f>'FU 0.79'!$L8</f>
        <v>7518.1837999999998</v>
      </c>
      <c r="L8" s="16">
        <f>'FU 0.8'!$L8</f>
        <v>7489.1635999999999</v>
      </c>
      <c r="M8" s="16">
        <f>'FU 0.81'!$L8</f>
        <v>7459.7677999999996</v>
      </c>
      <c r="N8" s="16">
        <f>'FU 0.82'!$L8</f>
        <v>7429.9486999999999</v>
      </c>
      <c r="O8" s="16">
        <f>'FU 0.83'!$L8</f>
        <v>7399.6525000000001</v>
      </c>
      <c r="P8" s="16">
        <f>'FU 0.84'!$L8</f>
        <v>7368.8180000000002</v>
      </c>
      <c r="Q8" s="16">
        <f t="shared" si="0"/>
        <v>7337.9835000000003</v>
      </c>
    </row>
    <row r="9" spans="1:17" x14ac:dyDescent="0.25">
      <c r="A9">
        <f>'FU 0.7'!A9</f>
        <v>0.67</v>
      </c>
      <c r="B9" s="16">
        <f>'FU 0.7'!$L9</f>
        <v>7531.9143000000004</v>
      </c>
      <c r="C9" s="16">
        <f>'FU 0.71'!$L9</f>
        <v>7504.6467000000002</v>
      </c>
      <c r="D9" s="16">
        <f>'FU 0.72'!$L9</f>
        <v>7477.2737999999999</v>
      </c>
      <c r="E9" s="16">
        <f>'FU 0.73'!$L9</f>
        <v>7449.7727999999997</v>
      </c>
      <c r="F9" s="16">
        <f>'FU 0.74'!$L9</f>
        <v>7422.1198999999997</v>
      </c>
      <c r="G9" s="16">
        <f>'FU 0.75'!$L9</f>
        <v>7394.2893999999997</v>
      </c>
      <c r="H9" s="16">
        <f>'FU 0.76'!$L9</f>
        <v>7366.2537000000002</v>
      </c>
      <c r="I9" s="16">
        <f>'FU 0.77'!$L9</f>
        <v>7337.9830000000002</v>
      </c>
      <c r="J9" s="16">
        <f>'FU 0.78'!$L9</f>
        <v>7309.4447</v>
      </c>
      <c r="K9" s="16">
        <f>'FU 0.79'!$L9</f>
        <v>7280.6034</v>
      </c>
      <c r="L9" s="16">
        <f>'FU 0.8'!$L9</f>
        <v>7251.4197999999997</v>
      </c>
      <c r="M9" s="16">
        <f>'FU 0.81'!$L9</f>
        <v>7221.8501999999999</v>
      </c>
      <c r="N9" s="16">
        <f>'FU 0.82'!$L9</f>
        <v>7191.8456999999999</v>
      </c>
      <c r="O9" s="16">
        <f>'FU 0.83'!$L9</f>
        <v>7161.3509999999997</v>
      </c>
      <c r="P9" s="16">
        <f>'FU 0.84'!$L9</f>
        <v>7130.3032000000003</v>
      </c>
      <c r="Q9" s="16">
        <f t="shared" si="0"/>
        <v>7099.2554000000009</v>
      </c>
    </row>
    <row r="10" spans="1:17" x14ac:dyDescent="0.25">
      <c r="A10">
        <f>'FU 0.7'!A10</f>
        <v>0.68</v>
      </c>
      <c r="B10" s="16">
        <f>'FU 0.7'!$L10</f>
        <v>7295.1760000000004</v>
      </c>
      <c r="C10" s="16">
        <f>'FU 0.71'!$L10</f>
        <v>7267.7965999999997</v>
      </c>
      <c r="D10" s="16">
        <f>'FU 0.72'!$L10</f>
        <v>7240.3068000000003</v>
      </c>
      <c r="E10" s="16">
        <f>'FU 0.73'!$L10</f>
        <v>7212.6836000000003</v>
      </c>
      <c r="F10" s="16">
        <f>'FU 0.74'!$L10</f>
        <v>7184.9026999999996</v>
      </c>
      <c r="G10" s="16">
        <f>'FU 0.75'!$L10</f>
        <v>7156.9377000000004</v>
      </c>
      <c r="H10" s="16">
        <f>'FU 0.76'!$L10</f>
        <v>7128.7605999999996</v>
      </c>
      <c r="I10" s="16">
        <f>'FU 0.77'!$L10</f>
        <v>7100.3409000000001</v>
      </c>
      <c r="J10" s="16">
        <f>'FU 0.78'!$L10</f>
        <v>7071.6453000000001</v>
      </c>
      <c r="K10" s="16">
        <f>'FU 0.79'!$L10</f>
        <v>7042.6373999999996</v>
      </c>
      <c r="L10" s="16">
        <f>'FU 0.8'!$L10</f>
        <v>7013.277</v>
      </c>
      <c r="M10" s="16">
        <f>'FU 0.81'!$L10</f>
        <v>6983.5191999999997</v>
      </c>
      <c r="N10" s="16">
        <f>'FU 0.82'!$L10</f>
        <v>6953.3137999999999</v>
      </c>
      <c r="O10" s="16">
        <f>'FU 0.83'!$L10</f>
        <v>6922.6037999999999</v>
      </c>
      <c r="P10" s="16">
        <f>'FU 0.84'!$L10</f>
        <v>6891.3244999999997</v>
      </c>
      <c r="Q10" s="16">
        <f t="shared" si="0"/>
        <v>6860.0451999999996</v>
      </c>
    </row>
    <row r="11" spans="1:17" x14ac:dyDescent="0.25">
      <c r="A11">
        <f>'FU 0.7'!A11</f>
        <v>0.69</v>
      </c>
      <c r="B11" s="16">
        <f>'FU 0.7'!$L11</f>
        <v>7058.1135000000004</v>
      </c>
      <c r="C11" s="16">
        <f>'FU 0.71'!$L11</f>
        <v>7030.6134000000002</v>
      </c>
      <c r="D11" s="16">
        <f>'FU 0.72'!$L11</f>
        <v>7002.9975000000004</v>
      </c>
      <c r="E11" s="16">
        <f>'FU 0.73'!$L11</f>
        <v>6975.2424000000001</v>
      </c>
      <c r="F11" s="16">
        <f>'FU 0.74'!$L11</f>
        <v>6947.3230000000003</v>
      </c>
      <c r="G11" s="16">
        <f>'FU 0.75'!$L11</f>
        <v>6919.2127</v>
      </c>
      <c r="H11" s="16">
        <f>'FU 0.76'!$L11</f>
        <v>6890.8825999999999</v>
      </c>
      <c r="I11" s="16">
        <f>'FU 0.77'!$L11</f>
        <v>6862.3015999999998</v>
      </c>
      <c r="J11" s="16">
        <f>'FU 0.78'!$L11</f>
        <v>6833.4354999999996</v>
      </c>
      <c r="K11" s="16">
        <f>'FU 0.79'!$L11</f>
        <v>6804.2470000000003</v>
      </c>
      <c r="L11" s="16">
        <f>'FU 0.8'!$L11</f>
        <v>6774.6947</v>
      </c>
      <c r="M11" s="16">
        <f>'FU 0.81'!$L11</f>
        <v>6744.7325000000001</v>
      </c>
      <c r="N11" s="16">
        <f>'FU 0.82'!$L11</f>
        <v>6714.3086000000003</v>
      </c>
      <c r="O11" s="16">
        <f>'FU 0.83'!$L11</f>
        <v>6683.3644000000004</v>
      </c>
      <c r="P11" s="16">
        <f>'FU 0.84'!$L11</f>
        <v>6651.8328000000001</v>
      </c>
      <c r="Q11" s="16">
        <f t="shared" si="0"/>
        <v>6620.3011999999999</v>
      </c>
    </row>
    <row r="12" spans="1:17" x14ac:dyDescent="0.25">
      <c r="A12">
        <f>'FU 0.7'!A12</f>
        <v>0.7</v>
      </c>
      <c r="B12" s="16">
        <f>'FU 0.7'!$L12</f>
        <v>6820.6952000000001</v>
      </c>
      <c r="C12" s="16">
        <f>'FU 0.71'!$L12</f>
        <v>6793.0645999999997</v>
      </c>
      <c r="D12" s="16">
        <f>'FU 0.72'!$L12</f>
        <v>6765.3122000000003</v>
      </c>
      <c r="E12" s="16">
        <f>'FU 0.73'!$L12</f>
        <v>6737.4141</v>
      </c>
      <c r="F12" s="16">
        <f>'FU 0.74'!$L12</f>
        <v>6709.3446999999996</v>
      </c>
      <c r="G12" s="16">
        <f>'FU 0.75'!$L12</f>
        <v>6681.0766999999996</v>
      </c>
      <c r="H12" s="16">
        <f>'FU 0.76'!$L12</f>
        <v>6652.5806000000002</v>
      </c>
      <c r="I12" s="16">
        <f>'FU 0.77'!$L12</f>
        <v>6623.8243000000002</v>
      </c>
      <c r="J12" s="16">
        <f>'FU 0.78'!$L12</f>
        <v>6594.7728999999999</v>
      </c>
      <c r="K12" s="16">
        <f>'FU 0.79'!$L12</f>
        <v>6565.3878000000004</v>
      </c>
      <c r="L12" s="16">
        <f>'FU 0.8'!$L12</f>
        <v>6535.6265999999996</v>
      </c>
      <c r="M12" s="16">
        <f>'FU 0.81'!$L12</f>
        <v>6505.4414999999999</v>
      </c>
      <c r="N12" s="16">
        <f>'FU 0.82'!$L12</f>
        <v>6474.7791999999999</v>
      </c>
      <c r="O12" s="16">
        <f>'FU 0.83'!$L12</f>
        <v>6443.5789999999997</v>
      </c>
      <c r="P12" s="16">
        <f>'FU 0.84'!$L12</f>
        <v>6411.7713999999996</v>
      </c>
      <c r="Q12" s="16">
        <f t="shared" si="0"/>
        <v>6379.9637999999995</v>
      </c>
    </row>
    <row r="13" spans="1:17" x14ac:dyDescent="0.25">
      <c r="A13">
        <f>'FU 0.7'!A13</f>
        <v>0.71</v>
      </c>
      <c r="B13" s="16">
        <f>'FU 0.7'!$L13</f>
        <v>6582.8854000000001</v>
      </c>
      <c r="C13" s="16">
        <f>'FU 0.71'!$L13</f>
        <v>6555.1130000000003</v>
      </c>
      <c r="D13" s="16">
        <f>'FU 0.72'!$L13</f>
        <v>6527.2123000000001</v>
      </c>
      <c r="E13" s="16">
        <f>'FU 0.73'!$L13</f>
        <v>6499.1588000000002</v>
      </c>
      <c r="F13" s="16">
        <f>'FU 0.74'!$L13</f>
        <v>6470.9261999999999</v>
      </c>
      <c r="G13" s="16">
        <f>'FU 0.75'!$L13</f>
        <v>6442.4865</v>
      </c>
      <c r="H13" s="16">
        <f>'FU 0.76'!$L13</f>
        <v>6413.8095000000003</v>
      </c>
      <c r="I13" s="16">
        <f>'FU 0.77'!$L13</f>
        <v>6384.8621000000003</v>
      </c>
      <c r="J13" s="16">
        <f>'FU 0.78'!$L13</f>
        <v>6355.6084000000001</v>
      </c>
      <c r="K13" s="16">
        <f>'FU 0.79'!$L13</f>
        <v>6326.0087000000003</v>
      </c>
      <c r="L13" s="16">
        <f>'FU 0.8'!$L13</f>
        <v>6296.0189</v>
      </c>
      <c r="M13" s="16">
        <f>'FU 0.81'!$L13</f>
        <v>6265.5898999999999</v>
      </c>
      <c r="N13" s="16">
        <f>'FU 0.82'!$L13</f>
        <v>6234.6662999999999</v>
      </c>
      <c r="O13" s="16">
        <f>'FU 0.83'!$L13</f>
        <v>6203.1851999999999</v>
      </c>
      <c r="P13" s="16">
        <f>'FU 0.84'!$L13</f>
        <v>6171.0743000000002</v>
      </c>
      <c r="Q13" s="16">
        <f t="shared" si="0"/>
        <v>6138.9634000000005</v>
      </c>
    </row>
    <row r="14" spans="1:17" x14ac:dyDescent="0.25">
      <c r="A14">
        <f>'FU 0.7'!A14</f>
        <v>0.72</v>
      </c>
      <c r="B14" s="16">
        <f>'FU 0.7'!$L14</f>
        <v>6344.6427000000003</v>
      </c>
      <c r="C14" s="16">
        <f>'FU 0.71'!$L14</f>
        <v>6316.7160000000003</v>
      </c>
      <c r="D14" s="16">
        <f>'FU 0.72'!$L14</f>
        <v>6288.6535999999996</v>
      </c>
      <c r="E14" s="16">
        <f>'FU 0.73'!$L14</f>
        <v>6260.4305000000004</v>
      </c>
      <c r="F14" s="16">
        <f>'FU 0.74'!$L14</f>
        <v>6232.0196999999998</v>
      </c>
      <c r="G14" s="16">
        <f>'FU 0.75'!$L14</f>
        <v>6203.3924999999999</v>
      </c>
      <c r="H14" s="16">
        <f>'FU 0.76'!$L14</f>
        <v>6174.5176000000001</v>
      </c>
      <c r="I14" s="16">
        <f>'FU 0.77'!$L14</f>
        <v>6145.3609999999999</v>
      </c>
      <c r="J14" s="16">
        <f>'FU 0.78'!$L14</f>
        <v>6115.8855999999996</v>
      </c>
      <c r="K14" s="16">
        <f>'FU 0.79'!$L14</f>
        <v>6086.0504000000001</v>
      </c>
      <c r="L14" s="16">
        <f>'FU 0.8'!$L14</f>
        <v>6055.8095999999996</v>
      </c>
      <c r="M14" s="16">
        <f>'FU 0.81'!$L14</f>
        <v>6025.1124</v>
      </c>
      <c r="N14" s="16">
        <f>'FU 0.82'!$L14</f>
        <v>5993.9012000000002</v>
      </c>
      <c r="O14" s="16">
        <f>'FU 0.83'!$L14</f>
        <v>5962.1103000000003</v>
      </c>
      <c r="P14" s="16">
        <f>'FU 0.84'!$L14</f>
        <v>5929.6646000000001</v>
      </c>
      <c r="Q14" s="16">
        <f t="shared" si="0"/>
        <v>5897.2188999999998</v>
      </c>
    </row>
    <row r="15" spans="1:17" x14ac:dyDescent="0.25">
      <c r="A15">
        <f>'FU 0.7'!A15</f>
        <v>0.73</v>
      </c>
      <c r="B15" s="16">
        <f>'FU 0.7'!$L15</f>
        <v>6105.92</v>
      </c>
      <c r="C15" s="16">
        <f>'FU 0.71'!$L15</f>
        <v>6077.8243000000002</v>
      </c>
      <c r="D15" s="16">
        <f>'FU 0.72'!$L15</f>
        <v>6049.5848999999998</v>
      </c>
      <c r="E15" s="16">
        <f>'FU 0.73'!$L15</f>
        <v>6021.1760000000004</v>
      </c>
      <c r="F15" s="16">
        <f>'FU 0.74'!$L15</f>
        <v>5992.5699000000004</v>
      </c>
      <c r="G15" s="16">
        <f>'FU 0.75'!$L15</f>
        <v>5963.7367999999997</v>
      </c>
      <c r="H15" s="16">
        <f>'FU 0.76'!$L15</f>
        <v>5934.6445000000003</v>
      </c>
      <c r="I15" s="16">
        <f>'FU 0.77'!$L15</f>
        <v>5905.2578999999996</v>
      </c>
      <c r="J15" s="16">
        <f>'FU 0.78'!$L15</f>
        <v>5875.5384999999997</v>
      </c>
      <c r="K15" s="16">
        <f>'FU 0.79'!$L15</f>
        <v>5845.4436999999998</v>
      </c>
      <c r="L15" s="16">
        <f>'FU 0.8'!$L15</f>
        <v>5814.9260999999997</v>
      </c>
      <c r="M15" s="16">
        <f>'FU 0.81'!$L15</f>
        <v>5783.9324999999999</v>
      </c>
      <c r="N15" s="16">
        <f>'FU 0.82'!$L15</f>
        <v>5752.4030000000002</v>
      </c>
      <c r="O15" s="16">
        <f>'FU 0.83'!$L15</f>
        <v>5720.2689</v>
      </c>
      <c r="P15" s="16">
        <f>'FU 0.84'!$L15</f>
        <v>5687.4515000000001</v>
      </c>
      <c r="Q15" s="16">
        <f t="shared" si="0"/>
        <v>5654.6341000000002</v>
      </c>
    </row>
    <row r="16" spans="1:17" x14ac:dyDescent="0.25">
      <c r="A16">
        <f>'FU 0.7'!A16</f>
        <v>0.74</v>
      </c>
      <c r="B16" s="16">
        <f>'FU 0.7'!$L16</f>
        <v>5866.6620999999996</v>
      </c>
      <c r="C16" s="16">
        <f>'FU 0.71'!$L16</f>
        <v>5838.3809000000001</v>
      </c>
      <c r="D16" s="16">
        <f>'FU 0.72'!$L16</f>
        <v>5809.9470000000001</v>
      </c>
      <c r="E16" s="16">
        <f>'FU 0.73'!$L16</f>
        <v>5781.3335999999999</v>
      </c>
      <c r="F16" s="16">
        <f>'FU 0.74'!$L16</f>
        <v>5752.5123000000003</v>
      </c>
      <c r="G16" s="16">
        <f>'FU 0.75'!$L16</f>
        <v>5723.4521999999997</v>
      </c>
      <c r="H16" s="16">
        <f>'FU 0.76'!$L16</f>
        <v>5694.12</v>
      </c>
      <c r="I16" s="16">
        <f>'FU 0.77'!$L16</f>
        <v>5664.4793</v>
      </c>
      <c r="J16" s="16">
        <f>'FU 0.78'!$L16</f>
        <v>5634.4898999999996</v>
      </c>
      <c r="K16" s="16">
        <f>'FU 0.79'!$L16</f>
        <v>5604.1075000000001</v>
      </c>
      <c r="L16" s="16">
        <f>'FU 0.8'!$L16</f>
        <v>5573.2826999999997</v>
      </c>
      <c r="M16" s="16">
        <f>'FU 0.81'!$L16</f>
        <v>5541.9598999999998</v>
      </c>
      <c r="N16" s="16">
        <f>'FU 0.82'!$L16</f>
        <v>5510.0762000000004</v>
      </c>
      <c r="O16" s="16">
        <f>'FU 0.83'!$L16</f>
        <v>5477.5595999999996</v>
      </c>
      <c r="P16" s="16">
        <f>'FU 0.84'!$L16</f>
        <v>5444.3270000000002</v>
      </c>
      <c r="Q16" s="16">
        <f t="shared" si="0"/>
        <v>5411.0944000000009</v>
      </c>
    </row>
    <row r="17" spans="1:17" x14ac:dyDescent="0.25">
      <c r="A17">
        <f>'FU 0.7'!A17</f>
        <v>0.75</v>
      </c>
      <c r="B17" s="16">
        <f>'FU 0.7'!$L17</f>
        <v>5626.8050000000003</v>
      </c>
      <c r="C17" s="16">
        <f>'FU 0.71'!$L17</f>
        <v>5598.3190999999997</v>
      </c>
      <c r="D17" s="16">
        <f>'FU 0.72'!$L17</f>
        <v>5569.6701999999996</v>
      </c>
      <c r="E17" s="16">
        <f>'FU 0.73'!$L17</f>
        <v>5540.8307000000004</v>
      </c>
      <c r="F17" s="16">
        <f>'FU 0.74'!$L17</f>
        <v>5511.7710999999999</v>
      </c>
      <c r="G17" s="16">
        <f>'FU 0.75'!$L17</f>
        <v>5482.4594999999999</v>
      </c>
      <c r="H17" s="16">
        <f>'FU 0.76'!$L17</f>
        <v>5452.8611000000001</v>
      </c>
      <c r="I17" s="16">
        <f>'FU 0.77'!$L17</f>
        <v>5422.9380000000001</v>
      </c>
      <c r="J17" s="16">
        <f>'FU 0.78'!$L17</f>
        <v>5392.6482999999998</v>
      </c>
      <c r="K17" s="16">
        <f>'FU 0.79'!$L17</f>
        <v>5361.9456</v>
      </c>
      <c r="L17" s="16">
        <f>'FU 0.8'!$L17</f>
        <v>5330.7780000000002</v>
      </c>
      <c r="M17" s="16">
        <f>'FU 0.81'!$L17</f>
        <v>5299.0871999999999</v>
      </c>
      <c r="N17" s="16">
        <f>'FU 0.82'!$L17</f>
        <v>5266.8068999999996</v>
      </c>
      <c r="O17" s="16">
        <f>'FU 0.83'!$L17</f>
        <v>5233.8609999999999</v>
      </c>
      <c r="P17" s="16">
        <f>'FU 0.84'!$L17</f>
        <v>5200.1616000000004</v>
      </c>
      <c r="Q17" s="16">
        <f t="shared" si="0"/>
        <v>5166.4622000000008</v>
      </c>
    </row>
    <row r="18" spans="1:17" x14ac:dyDescent="0.25">
      <c r="A18">
        <f>'FU 0.7'!A18</f>
        <v>0.76</v>
      </c>
      <c r="B18" s="16">
        <f>'FU 0.7'!$L18</f>
        <v>5386.2732999999998</v>
      </c>
      <c r="C18" s="16">
        <f>'FU 0.71'!$L18</f>
        <v>5357.5601999999999</v>
      </c>
      <c r="D18" s="16">
        <f>'FU 0.72'!$L18</f>
        <v>5328.6725999999999</v>
      </c>
      <c r="E18" s="16">
        <f>'FU 0.73'!$L18</f>
        <v>5299.5816999999997</v>
      </c>
      <c r="F18" s="16">
        <f>'FU 0.74'!$L18</f>
        <v>5270.2569000000003</v>
      </c>
      <c r="G18" s="16">
        <f>'FU 0.75'!$L18</f>
        <v>5240.6648999999998</v>
      </c>
      <c r="H18" s="16">
        <f>'FU 0.76'!$L18</f>
        <v>5210.7694000000001</v>
      </c>
      <c r="I18" s="16">
        <f>'FU 0.77'!$L18</f>
        <v>5180.5306</v>
      </c>
      <c r="J18" s="16">
        <f>'FU 0.78'!$L18</f>
        <v>5149.9045999999998</v>
      </c>
      <c r="K18" s="16">
        <f>'FU 0.79'!$L18</f>
        <v>5118.8427000000001</v>
      </c>
      <c r="L18" s="16">
        <f>'FU 0.8'!$L18</f>
        <v>5087.2901000000002</v>
      </c>
      <c r="M18" s="16">
        <f>'FU 0.81'!$L18</f>
        <v>5055.1850999999997</v>
      </c>
      <c r="N18" s="16">
        <f>'FU 0.82'!$L18</f>
        <v>5022.4575000000004</v>
      </c>
      <c r="O18" s="16">
        <f>'FU 0.83'!$L18</f>
        <v>4989.0263999999997</v>
      </c>
      <c r="P18" s="16">
        <f>'FU 0.84'!$L18</f>
        <v>4954.7979999999998</v>
      </c>
      <c r="Q18" s="16">
        <f t="shared" si="0"/>
        <v>4920.5695999999998</v>
      </c>
    </row>
    <row r="19" spans="1:17" x14ac:dyDescent="0.25">
      <c r="A19">
        <f>'FU 0.7'!A19</f>
        <v>0.77</v>
      </c>
      <c r="B19" s="16">
        <f>'FU 0.7'!$L19</f>
        <v>5144.9777999999997</v>
      </c>
      <c r="C19" s="16">
        <f>'FU 0.71'!$L19</f>
        <v>5116.0111999999999</v>
      </c>
      <c r="D19" s="16">
        <f>'FU 0.72'!$L19</f>
        <v>5086.8567000000003</v>
      </c>
      <c r="E19" s="16">
        <f>'FU 0.73'!$L19</f>
        <v>5057.4845999999998</v>
      </c>
      <c r="F19" s="16">
        <f>'FU 0.74'!$L19</f>
        <v>5027.8626999999997</v>
      </c>
      <c r="G19" s="16">
        <f>'FU 0.75'!$L19</f>
        <v>4997.9560000000001</v>
      </c>
      <c r="H19" s="16">
        <f>'FU 0.76'!$L19</f>
        <v>4967.7266</v>
      </c>
      <c r="I19" s="16">
        <f>'FU 0.77'!$L19</f>
        <v>4937.1325999999999</v>
      </c>
      <c r="J19" s="16">
        <f>'FU 0.78'!$L19</f>
        <v>4906.1274999999996</v>
      </c>
      <c r="K19" s="16">
        <f>'FU 0.79'!$L19</f>
        <v>4874.6598000000004</v>
      </c>
      <c r="L19" s="16">
        <f>'FU 0.8'!$L19</f>
        <v>4842.6714000000002</v>
      </c>
      <c r="M19" s="16">
        <f>'FU 0.81'!$L19</f>
        <v>4810.0967000000001</v>
      </c>
      <c r="N19" s="16">
        <f>'FU 0.82'!$L19</f>
        <v>4776.8603999999996</v>
      </c>
      <c r="O19" s="16">
        <f>'FU 0.83'!$L19</f>
        <v>4742.8761999999997</v>
      </c>
      <c r="P19" s="16">
        <f>'FU 0.84'!$L19</f>
        <v>4708.0430999999999</v>
      </c>
      <c r="Q19" s="16">
        <f t="shared" si="0"/>
        <v>4673.21</v>
      </c>
    </row>
    <row r="20" spans="1:17" x14ac:dyDescent="0.25">
      <c r="A20">
        <f>'FU 0.7'!A20</f>
        <v>0.78</v>
      </c>
      <c r="B20" s="16">
        <f>'FU 0.7'!$L20</f>
        <v>4902.8116</v>
      </c>
      <c r="C20" s="16">
        <f>'FU 0.71'!$L20</f>
        <v>4873.5600999999997</v>
      </c>
      <c r="D20" s="16">
        <f>'FU 0.72'!$L20</f>
        <v>4844.1054999999997</v>
      </c>
      <c r="E20" s="16">
        <f>'FU 0.73'!$L20</f>
        <v>4814.4165000000003</v>
      </c>
      <c r="F20" s="16">
        <f>'FU 0.74'!$L20</f>
        <v>4784.4593000000004</v>
      </c>
      <c r="G20" s="16">
        <f>'FU 0.75'!$L20</f>
        <v>4754.1971000000003</v>
      </c>
      <c r="H20" s="16">
        <f>'FU 0.76'!$L20</f>
        <v>4723.5897000000004</v>
      </c>
      <c r="I20" s="16">
        <f>'FU 0.77'!$L20</f>
        <v>4692.5927000000001</v>
      </c>
      <c r="J20" s="16">
        <f>'FU 0.78'!$L20</f>
        <v>4661.1566999999995</v>
      </c>
      <c r="K20" s="16">
        <f>'FU 0.79'!$L20</f>
        <v>4629.2268999999997</v>
      </c>
      <c r="L20" s="16">
        <f>'FU 0.8'!$L20</f>
        <v>4596.741</v>
      </c>
      <c r="M20" s="16">
        <f>'FU 0.81'!$L20</f>
        <v>4563.6284999999998</v>
      </c>
      <c r="N20" s="16">
        <f>'FU 0.82'!$L20</f>
        <v>4529.8086000000003</v>
      </c>
      <c r="O20" s="16">
        <f>'FU 0.83'!$L20</f>
        <v>4495.1877000000004</v>
      </c>
      <c r="P20" s="16">
        <f>'FU 0.84'!$L20</f>
        <v>4459.6561000000002</v>
      </c>
      <c r="Q20" s="16">
        <f t="shared" si="0"/>
        <v>4424.1244999999999</v>
      </c>
    </row>
    <row r="21" spans="1:17" x14ac:dyDescent="0.25">
      <c r="A21">
        <f>'FU 0.7'!A21</f>
        <v>0.79</v>
      </c>
      <c r="B21" s="16">
        <f>'FU 0.7'!$L21</f>
        <v>4659.6454000000003</v>
      </c>
      <c r="C21" s="16">
        <f>'FU 0.71'!$L21</f>
        <v>4630.0716000000002</v>
      </c>
      <c r="D21" s="16">
        <f>'FU 0.72'!$L21</f>
        <v>4600.2767000000003</v>
      </c>
      <c r="E21" s="16">
        <f>'FU 0.73'!$L21</f>
        <v>4570.2278999999999</v>
      </c>
      <c r="F21" s="16">
        <f>'FU 0.74'!$L21</f>
        <v>4539.8892999999998</v>
      </c>
      <c r="G21" s="16">
        <f>'FU 0.75'!$L21</f>
        <v>4509.2218999999996</v>
      </c>
      <c r="H21" s="16">
        <f>'FU 0.76'!$L21</f>
        <v>4478.1827999999996</v>
      </c>
      <c r="I21" s="16">
        <f>'FU 0.77'!$L21</f>
        <v>4446.7245999999996</v>
      </c>
      <c r="J21" s="16">
        <f>'FU 0.78'!$L21</f>
        <v>4414.7945</v>
      </c>
      <c r="K21" s="16">
        <f>'FU 0.79'!$L21</f>
        <v>4382.3330999999998</v>
      </c>
      <c r="L21" s="16">
        <f>'FU 0.8'!$L21</f>
        <v>4349.2735000000002</v>
      </c>
      <c r="M21" s="16">
        <f>'FU 0.81'!$L21</f>
        <v>4315.5392000000002</v>
      </c>
      <c r="N21" s="16">
        <f>'FU 0.82'!$L21</f>
        <v>4281.0421999999999</v>
      </c>
      <c r="O21" s="16">
        <f>'FU 0.83'!$L21</f>
        <v>4245.6799000000001</v>
      </c>
      <c r="P21" s="16">
        <f>'FU 0.84'!$L21</f>
        <v>4209.3319000000001</v>
      </c>
      <c r="Q21" s="16">
        <f t="shared" si="0"/>
        <v>4172.9839000000002</v>
      </c>
    </row>
    <row r="22" spans="1:17" x14ac:dyDescent="0.25">
      <c r="A22">
        <f>'FU 0.7'!A22</f>
        <v>0.8</v>
      </c>
      <c r="B22" s="16">
        <f>'FU 0.7'!$L22</f>
        <v>4415.3215</v>
      </c>
      <c r="C22" s="16">
        <f>'FU 0.71'!$L22</f>
        <v>4385.3797000000004</v>
      </c>
      <c r="D22" s="16">
        <f>'FU 0.72'!$L22</f>
        <v>4355.1957000000002</v>
      </c>
      <c r="E22" s="16">
        <f>'FU 0.73'!$L22</f>
        <v>4324.7345999999998</v>
      </c>
      <c r="F22" s="16">
        <f>'FU 0.74'!$L22</f>
        <v>4293.9580999999998</v>
      </c>
      <c r="G22" s="16">
        <f>'FU 0.75'!$L22</f>
        <v>4262.8244000000004</v>
      </c>
      <c r="H22" s="16">
        <f>'FU 0.76'!$L22</f>
        <v>4231.2874000000002</v>
      </c>
      <c r="I22" s="16">
        <f>'FU 0.77'!$L22</f>
        <v>4199.2959000000001</v>
      </c>
      <c r="J22" s="16">
        <f>'FU 0.78'!$L22</f>
        <v>4166.7927</v>
      </c>
      <c r="K22" s="16">
        <f>'FU 0.79'!$L22</f>
        <v>4133.7133000000003</v>
      </c>
      <c r="L22" s="16">
        <f>'FU 0.8'!$L22</f>
        <v>4099.9844999999996</v>
      </c>
      <c r="M22" s="16">
        <f>'FU 0.81'!$L22</f>
        <v>4065.5221999999999</v>
      </c>
      <c r="N22" s="16">
        <f>'FU 0.82'!$L22</f>
        <v>4030.2294000000002</v>
      </c>
      <c r="O22" s="16">
        <f>'FU 0.83'!$L22</f>
        <v>3993.9922999999999</v>
      </c>
      <c r="P22" s="16">
        <f>'FU 0.84'!$L22</f>
        <v>3956.6763000000001</v>
      </c>
      <c r="Q22" s="16">
        <f t="shared" si="0"/>
        <v>3919.3603000000003</v>
      </c>
    </row>
    <row r="23" spans="1:17" x14ac:dyDescent="0.25">
      <c r="A23">
        <f>'FU 0.7'!A23</f>
        <v>0.81</v>
      </c>
      <c r="B23" s="16">
        <f>'FU 0.7'!$L23</f>
        <v>4169.6441000000004</v>
      </c>
      <c r="C23" s="16">
        <f>'FU 0.71'!$L23</f>
        <v>4139.2780000000002</v>
      </c>
      <c r="D23" s="16">
        <f>'FU 0.72'!$L23</f>
        <v>4108.6445000000003</v>
      </c>
      <c r="E23" s="16">
        <f>'FU 0.73'!$L23</f>
        <v>4077.7060000000001</v>
      </c>
      <c r="F23" s="16">
        <f>'FU 0.74'!$L23</f>
        <v>4046.4212000000002</v>
      </c>
      <c r="G23" s="16">
        <f>'FU 0.75'!$L23</f>
        <v>4014.7449000000001</v>
      </c>
      <c r="H23" s="16">
        <f>'FU 0.76'!$L23</f>
        <v>3982.6269000000002</v>
      </c>
      <c r="I23" s="16">
        <f>'FU 0.77'!$L23</f>
        <v>3950.0111999999999</v>
      </c>
      <c r="J23" s="16">
        <f>'FU 0.78'!$L23</f>
        <v>3916.8350999999998</v>
      </c>
      <c r="K23" s="16">
        <f>'FU 0.79'!$L23</f>
        <v>3883.0275000000001</v>
      </c>
      <c r="L23" s="16">
        <f>'FU 0.8'!$L23</f>
        <v>3848.5070999999998</v>
      </c>
      <c r="M23" s="16">
        <f>'FU 0.81'!$L23</f>
        <v>3813.1801999999998</v>
      </c>
      <c r="N23" s="16">
        <f>'FU 0.82'!$L23</f>
        <v>3776.9378000000002</v>
      </c>
      <c r="O23" s="16">
        <f>'FU 0.83'!$L23</f>
        <v>3739.6514000000002</v>
      </c>
      <c r="P23" s="16">
        <f>'FU 0.84'!$L23</f>
        <v>3701.1678999999999</v>
      </c>
      <c r="Q23" s="16">
        <f t="shared" si="0"/>
        <v>3662.6843999999996</v>
      </c>
    </row>
    <row r="24" spans="1:17" x14ac:dyDescent="0.25">
      <c r="A24">
        <f>'FU 0.7'!A24</f>
        <v>0.82</v>
      </c>
      <c r="B24" s="16">
        <f>'FU 0.7'!$L24</f>
        <v>3922.3667999999998</v>
      </c>
      <c r="C24" s="16">
        <f>'FU 0.71'!$L24</f>
        <v>3891.5059000000001</v>
      </c>
      <c r="D24" s="16">
        <f>'FU 0.72'!$L24</f>
        <v>3860.3469</v>
      </c>
      <c r="E24" s="16">
        <f>'FU 0.73'!$L24</f>
        <v>3828.8488000000002</v>
      </c>
      <c r="F24" s="16">
        <f>'FU 0.74'!$L24</f>
        <v>3796.9665</v>
      </c>
      <c r="G24" s="16">
        <f>'FU 0.75'!$L24</f>
        <v>3764.6502999999998</v>
      </c>
      <c r="H24" s="16">
        <f>'FU 0.76'!$L24</f>
        <v>3731.8447999999999</v>
      </c>
      <c r="I24" s="16">
        <f>'FU 0.77'!$L24</f>
        <v>3698.4879999999998</v>
      </c>
      <c r="J24" s="16">
        <f>'FU 0.78'!$L24</f>
        <v>3664.5097999999998</v>
      </c>
      <c r="K24" s="16">
        <f>'FU 0.79'!$L24</f>
        <v>3629.8303999999998</v>
      </c>
      <c r="L24" s="16">
        <f>'FU 0.8'!$L24</f>
        <v>3594.5273999999999</v>
      </c>
      <c r="M24" s="16">
        <f>'FU 0.81'!$L24</f>
        <v>3558.1520999999998</v>
      </c>
      <c r="N24" s="16">
        <f>'FU 0.82'!$L24</f>
        <v>3520.7521000000002</v>
      </c>
      <c r="O24" s="16">
        <f>'FU 0.83'!$L24</f>
        <v>3482.1786999999999</v>
      </c>
      <c r="P24" s="16">
        <f>'FU 0.84'!$L24</f>
        <v>3442.2530999999999</v>
      </c>
      <c r="Q24" s="16">
        <f t="shared" si="0"/>
        <v>3402.3274999999999</v>
      </c>
    </row>
    <row r="25" spans="1:17" x14ac:dyDescent="0.25">
      <c r="A25">
        <f>'FU 0.7'!A25</f>
        <v>0.83</v>
      </c>
      <c r="B25" s="16">
        <f>'FU 0.7'!$L25</f>
        <v>3673.1738</v>
      </c>
      <c r="C25" s="16">
        <f>'FU 0.71'!$L25</f>
        <v>3641.7282</v>
      </c>
      <c r="D25" s="16">
        <f>'FU 0.72'!$L25</f>
        <v>3609.9461000000001</v>
      </c>
      <c r="E25" s="16">
        <f>'FU 0.73'!$L25</f>
        <v>3577.7824000000001</v>
      </c>
      <c r="F25" s="16">
        <f>'FU 0.74'!$L25</f>
        <v>3545.3537000000001</v>
      </c>
      <c r="G25" s="16">
        <f>'FU 0.75'!$L25</f>
        <v>3512.2678000000001</v>
      </c>
      <c r="H25" s="16">
        <f>'FU 0.76'!$L25</f>
        <v>3478.6324</v>
      </c>
      <c r="I25" s="16">
        <f>'FU 0.77'!$L25</f>
        <v>3444.3771000000002</v>
      </c>
      <c r="J25" s="16">
        <f>'FU 0.78'!$L25</f>
        <v>3409.422</v>
      </c>
      <c r="K25" s="16">
        <f>'FU 0.79'!$L25</f>
        <v>3373.6756</v>
      </c>
      <c r="L25" s="16">
        <f>'FU 0.8'!$L25</f>
        <v>3337.0313999999998</v>
      </c>
      <c r="M25" s="16">
        <f>'FU 0.81'!$L25</f>
        <v>3299.3649</v>
      </c>
      <c r="N25" s="16">
        <f>'FU 0.82'!$L25</f>
        <v>3260.5286000000001</v>
      </c>
      <c r="O25" s="16">
        <f>'FU 0.83'!$L25</f>
        <v>3220.3452000000002</v>
      </c>
      <c r="P25" s="16">
        <f>'FU 0.84'!$L25</f>
        <v>3178.5989</v>
      </c>
      <c r="Q25" s="16">
        <f t="shared" si="0"/>
        <v>3136.8525999999997</v>
      </c>
    </row>
    <row r="26" spans="1:17" x14ac:dyDescent="0.25">
      <c r="A26">
        <f>'FU 0.7'!A26</f>
        <v>0.84</v>
      </c>
      <c r="B26" s="16">
        <f>'FU 0.7'!$L26</f>
        <v>3421.8096</v>
      </c>
      <c r="C26" s="16">
        <f>'FU 0.71'!$L26</f>
        <v>3389.6585</v>
      </c>
      <c r="D26" s="16">
        <f>'FU 0.72'!$L26</f>
        <v>3357.1221999999998</v>
      </c>
      <c r="E26" s="16">
        <f>'FU 0.73'!$L26</f>
        <v>3324.1496000000002</v>
      </c>
      <c r="F26" s="16">
        <f>'FU 0.74'!$L26</f>
        <v>3290.6839</v>
      </c>
      <c r="G26" s="16">
        <f>'FU 0.75'!$L26</f>
        <v>3256.6614</v>
      </c>
      <c r="H26" s="16">
        <f>'FU 0.76'!$L26</f>
        <v>3222.0104999999999</v>
      </c>
      <c r="I26" s="16">
        <f>'FU 0.77'!$L26</f>
        <v>3186.6496000000002</v>
      </c>
      <c r="J26" s="16">
        <f>'FU 0.78'!$L26</f>
        <v>3150.4850000000001</v>
      </c>
      <c r="K26" s="16">
        <f>'FU 0.79'!$L26</f>
        <v>3113.4081999999999</v>
      </c>
      <c r="L26" s="16">
        <f>'FU 0.8'!$L26</f>
        <v>3075.2919000000002</v>
      </c>
      <c r="M26" s="16">
        <f>'FU 0.81'!$L26</f>
        <v>3035.9856</v>
      </c>
      <c r="N26" s="16">
        <f>'FU 0.82'!$L26</f>
        <v>2995.3081999999999</v>
      </c>
      <c r="O26" s="16">
        <f>'FU 0.83'!$L26</f>
        <v>2953.0392999999999</v>
      </c>
      <c r="P26" s="16">
        <f>'FU 0.84'!$L26</f>
        <v>2908.9056</v>
      </c>
      <c r="Q26" s="16">
        <f t="shared" si="0"/>
        <v>2864.7719000000002</v>
      </c>
    </row>
    <row r="27" spans="1:17" x14ac:dyDescent="0.25">
      <c r="A27">
        <f>'FU 0.7'!A27</f>
        <v>0.85</v>
      </c>
      <c r="B27" s="16">
        <f>'FU 0.7'!$L27</f>
        <v>3167.3831</v>
      </c>
      <c r="C27" s="16">
        <f>'FU 0.71'!$L27</f>
        <v>3134.3706999999999</v>
      </c>
      <c r="D27" s="16">
        <f>'FU 0.72'!$L27</f>
        <v>3100.9090999999999</v>
      </c>
      <c r="E27" s="16">
        <f>'FU 0.73'!$L27</f>
        <v>3066.9387999999999</v>
      </c>
      <c r="F27" s="16">
        <f>'FU 0.74'!$L27</f>
        <v>3032.3937000000001</v>
      </c>
      <c r="G27" s="16">
        <f>'FU 0.75'!$L27</f>
        <v>2997.1986000000002</v>
      </c>
      <c r="H27" s="16">
        <f>'FU 0.76'!$L27</f>
        <v>2961.2683000000002</v>
      </c>
      <c r="I27" s="16">
        <f>'FU 0.77'!$L27</f>
        <v>2924.5043000000001</v>
      </c>
      <c r="J27" s="16">
        <f>'FU 0.78'!$L27</f>
        <v>2886.7927</v>
      </c>
      <c r="K27" s="16">
        <f>'FU 0.79'!$L27</f>
        <v>2847.9994999999999</v>
      </c>
      <c r="L27" s="16">
        <f>'FU 0.8'!$L27</f>
        <v>2807.9656</v>
      </c>
      <c r="M27" s="16">
        <f>'FU 0.81'!$L27</f>
        <v>2766.4992999999999</v>
      </c>
      <c r="N27" s="16">
        <f>'FU 0.82'!$L27</f>
        <v>2723.3663999999999</v>
      </c>
      <c r="O27" s="16">
        <f>'FU 0.83'!$L27</f>
        <v>2678.2757000000001</v>
      </c>
      <c r="P27" s="16">
        <f>'FU 0.84'!$L27</f>
        <v>2630.8571999999999</v>
      </c>
      <c r="Q27" s="16">
        <f t="shared" si="0"/>
        <v>2583.4386999999997</v>
      </c>
    </row>
  </sheetData>
  <conditionalFormatting sqref="B2:Q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A2" sqref="A2:L27"/>
    </sheetView>
  </sheetViews>
  <sheetFormatPr defaultRowHeight="15" x14ac:dyDescent="0.25"/>
  <sheetData>
    <row r="1" spans="1:1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>
        <f>0.6</f>
        <v>0.6</v>
      </c>
      <c r="B2">
        <f>32.17022871</f>
        <v>32.170228710000004</v>
      </c>
      <c r="C2">
        <f>29.75380067</f>
        <v>29.75380067</v>
      </c>
      <c r="D2">
        <f>37.5670407</f>
        <v>37.5670407</v>
      </c>
      <c r="E2">
        <f>67.32084138</f>
        <v>67.320841380000005</v>
      </c>
      <c r="F2">
        <f>31.34259383</f>
        <v>31.342593829999998</v>
      </c>
      <c r="G2">
        <f>28.98833259</f>
        <v>28.988332589999999</v>
      </c>
      <c r="H2">
        <f>9.885149708</f>
        <v>9.8851497080000001</v>
      </c>
      <c r="I2">
        <f>38.8734823</f>
        <v>38.873482299999999</v>
      </c>
      <c r="J2">
        <f>167.97311</f>
        <v>167.97310999999999</v>
      </c>
      <c r="K2">
        <f>4.9895964</f>
        <v>4.9895963999999999</v>
      </c>
      <c r="L2">
        <f>9181.9896</f>
        <v>9181.9896000000008</v>
      </c>
    </row>
    <row r="3" spans="1:12" x14ac:dyDescent="0.25">
      <c r="A3">
        <f>0.61</f>
        <v>0.61</v>
      </c>
      <c r="B3">
        <f>32.70639919</f>
        <v>32.706399189999999</v>
      </c>
      <c r="C3">
        <f>30.32681859</f>
        <v>30.326818589999998</v>
      </c>
      <c r="D3">
        <f>37.44002803</f>
        <v>37.440028030000001</v>
      </c>
      <c r="E3">
        <f>67.76684663</f>
        <v>67.766846630000003</v>
      </c>
      <c r="F3">
        <f>31.86497039</f>
        <v>31.86497039</v>
      </c>
      <c r="G3">
        <f>29.54660863</f>
        <v>29.546608630000001</v>
      </c>
      <c r="H3">
        <f>9.888392086</f>
        <v>9.8883920859999996</v>
      </c>
      <c r="I3">
        <f>39.43500072</f>
        <v>39.435000719999998</v>
      </c>
      <c r="J3">
        <f>166.40018</f>
        <v>166.40018000000001</v>
      </c>
      <c r="K3">
        <f>5.0671063</f>
        <v>5.0671062999999998</v>
      </c>
      <c r="L3">
        <f>8946.893</f>
        <v>8946.893</v>
      </c>
    </row>
    <row r="4" spans="1:12" x14ac:dyDescent="0.25">
      <c r="A4">
        <f>0.62</f>
        <v>0.62</v>
      </c>
      <c r="B4">
        <f>33.24256967</f>
        <v>33.242569670000002</v>
      </c>
      <c r="C4">
        <f>30.89986344</f>
        <v>30.899863440000001</v>
      </c>
      <c r="D4">
        <f>37.31292381</f>
        <v>37.312923810000001</v>
      </c>
      <c r="E4">
        <f>68.21278725</f>
        <v>68.212787250000005</v>
      </c>
      <c r="F4">
        <f>32.38734696</f>
        <v>32.387346960000002</v>
      </c>
      <c r="G4">
        <f>30.10491091</f>
        <v>30.104910910000001</v>
      </c>
      <c r="H4">
        <f>9.892275452</f>
        <v>9.8922754519999998</v>
      </c>
      <c r="I4">
        <f>39.99718636</f>
        <v>39.997186360000001</v>
      </c>
      <c r="J4">
        <f>164.68043</f>
        <v>164.68043</v>
      </c>
      <c r="K4">
        <f>5.1471217</f>
        <v>5.1471216999999996</v>
      </c>
      <c r="L4">
        <f>8711.6133</f>
        <v>8711.6133000000009</v>
      </c>
    </row>
    <row r="5" spans="1:12" x14ac:dyDescent="0.25">
      <c r="A5">
        <f>0.63</f>
        <v>0.63</v>
      </c>
      <c r="B5">
        <f>33.77874015</f>
        <v>33.778740149999997</v>
      </c>
      <c r="C5">
        <f>31.47293754</f>
        <v>31.47293754</v>
      </c>
      <c r="D5">
        <f>37.18572012</f>
        <v>37.185720119999999</v>
      </c>
      <c r="E5">
        <f>68.65865766</f>
        <v>68.658657660000003</v>
      </c>
      <c r="F5">
        <f>32.90972352</f>
        <v>32.90972352</v>
      </c>
      <c r="G5">
        <f>30.66324168</f>
        <v>30.663241679999999</v>
      </c>
      <c r="H5">
        <f>9.896828449</f>
        <v>9.8968284489999991</v>
      </c>
      <c r="I5">
        <f>40.56007013</f>
        <v>40.56007013</v>
      </c>
      <c r="J5">
        <f>162.81343</f>
        <v>162.81343000000001</v>
      </c>
      <c r="K5">
        <f>5.2297713</f>
        <v>5.2297713000000003</v>
      </c>
      <c r="L5">
        <f>8476.1364</f>
        <v>8476.1363999999994</v>
      </c>
    </row>
    <row r="6" spans="1:12" x14ac:dyDescent="0.25">
      <c r="A6">
        <f>0.64</f>
        <v>0.64</v>
      </c>
      <c r="B6">
        <f>34.31491062</f>
        <v>34.314910619999999</v>
      </c>
      <c r="C6">
        <f>32.04604347</f>
        <v>32.046043470000001</v>
      </c>
      <c r="D6">
        <f>37.05840813</f>
        <v>37.058408129999997</v>
      </c>
      <c r="E6">
        <f>69.1044516</f>
        <v>69.104451600000004</v>
      </c>
      <c r="F6">
        <f>33.43210008</f>
        <v>33.432100079999998</v>
      </c>
      <c r="G6">
        <f>31.22160347</f>
        <v>31.221603470000002</v>
      </c>
      <c r="H6">
        <f>9.902081598</f>
        <v>9.9020815980000005</v>
      </c>
      <c r="I6">
        <f>41.12368507</f>
        <v>41.123685070000001</v>
      </c>
      <c r="J6">
        <f>160.79867</f>
        <v>160.79866999999999</v>
      </c>
      <c r="K6">
        <f>5.3151933</f>
        <v>5.3151932999999998</v>
      </c>
      <c r="L6">
        <f>8240.4466</f>
        <v>8240.4465999999993</v>
      </c>
    </row>
    <row r="7" spans="1:12" x14ac:dyDescent="0.25">
      <c r="A7">
        <f>0.65</f>
        <v>0.65</v>
      </c>
      <c r="B7">
        <f>34.8510811</f>
        <v>34.851081100000002</v>
      </c>
      <c r="C7">
        <f>32.61918414</f>
        <v>32.619184140000002</v>
      </c>
      <c r="D7">
        <f>36.9309779</f>
        <v>36.930977900000002</v>
      </c>
      <c r="E7">
        <f>69.55016204</f>
        <v>69.550162040000004</v>
      </c>
      <c r="F7">
        <f>33.95447665</f>
        <v>33.954476649999997</v>
      </c>
      <c r="G7">
        <f>31.7799991</f>
        <v>31.779999100000001</v>
      </c>
      <c r="H7">
        <f>9.90806748</f>
        <v>9.9080674799999997</v>
      </c>
      <c r="I7">
        <f>41.68806658</f>
        <v>41.688066579999997</v>
      </c>
      <c r="J7">
        <f>158.63562</f>
        <v>158.63561999999999</v>
      </c>
      <c r="K7">
        <f>5.4035365</f>
        <v>5.4035365000000004</v>
      </c>
      <c r="L7">
        <f>8004.5264</f>
        <v>8004.5263999999997</v>
      </c>
    </row>
    <row r="8" spans="1:12" x14ac:dyDescent="0.25">
      <c r="A8">
        <f>0.66</f>
        <v>0.66</v>
      </c>
      <c r="B8">
        <f>35.38725158</f>
        <v>35.387251579999997</v>
      </c>
      <c r="C8">
        <f>33.19236282</f>
        <v>33.19236282</v>
      </c>
      <c r="D8">
        <f>36.80341821</f>
        <v>36.803418209999997</v>
      </c>
      <c r="E8">
        <f>69.99578103</f>
        <v>69.995781030000003</v>
      </c>
      <c r="F8">
        <f>34.47685321</f>
        <v>34.476853210000002</v>
      </c>
      <c r="G8">
        <f>32.33843176</f>
        <v>32.338431759999999</v>
      </c>
      <c r="H8">
        <f>9.914820935</f>
        <v>9.9148209349999998</v>
      </c>
      <c r="I8">
        <f>42.2532527</f>
        <v>42.253252699999997</v>
      </c>
      <c r="J8">
        <f>156.32369</f>
        <v>156.32369</v>
      </c>
      <c r="K8">
        <f>5.4949615</f>
        <v>5.4949614999999996</v>
      </c>
      <c r="L8">
        <f>7768.3563</f>
        <v>7768.3563000000004</v>
      </c>
    </row>
    <row r="9" spans="1:12" x14ac:dyDescent="0.25">
      <c r="A9">
        <f>0.67</f>
        <v>0.67</v>
      </c>
      <c r="B9">
        <f>35.92342206</f>
        <v>35.92342206</v>
      </c>
      <c r="C9">
        <f>33.76558321</f>
        <v>33.765583210000003</v>
      </c>
      <c r="D9">
        <f>36.67571638</f>
        <v>36.675716379999997</v>
      </c>
      <c r="E9">
        <f>70.44129959</f>
        <v>70.44129959</v>
      </c>
      <c r="F9">
        <f>34.99922978</f>
        <v>34.99922978</v>
      </c>
      <c r="G9">
        <f>32.89690507</f>
        <v>32.896905070000003</v>
      </c>
      <c r="H9">
        <f>9.922379299</f>
        <v>9.9223792989999993</v>
      </c>
      <c r="I9">
        <f>42.81928437</f>
        <v>42.819284369999998</v>
      </c>
      <c r="J9">
        <f>153.86219</f>
        <v>153.86219</v>
      </c>
      <c r="K9">
        <f>5.589642</f>
        <v>5.5896420000000004</v>
      </c>
      <c r="L9">
        <f>7531.9143</f>
        <v>7531.9143000000004</v>
      </c>
    </row>
    <row r="10" spans="1:12" x14ac:dyDescent="0.25">
      <c r="A10">
        <f>0.68</f>
        <v>0.68</v>
      </c>
      <c r="B10">
        <f>36.45959254</f>
        <v>36.459592540000003</v>
      </c>
      <c r="C10">
        <f>34.33884954</f>
        <v>34.338849539999998</v>
      </c>
      <c r="D10">
        <f>36.54785797</f>
        <v>36.547857970000003</v>
      </c>
      <c r="E10">
        <f>70.88670751</f>
        <v>70.886707509999994</v>
      </c>
      <c r="F10">
        <f>35.52160634</f>
        <v>35.521606339999998</v>
      </c>
      <c r="G10">
        <f>33.45542313</f>
        <v>33.45542313</v>
      </c>
      <c r="H10">
        <f>9.930782664</f>
        <v>9.9307826640000005</v>
      </c>
      <c r="I10">
        <f>43.3862058</f>
        <v>43.386205799999999</v>
      </c>
      <c r="J10">
        <f>151.25036</f>
        <v>151.25036</v>
      </c>
      <c r="K10">
        <f>5.6877661</f>
        <v>5.6877661000000002</v>
      </c>
      <c r="L10">
        <f>7295.176</f>
        <v>7295.1760000000004</v>
      </c>
    </row>
    <row r="11" spans="1:12" x14ac:dyDescent="0.25">
      <c r="A11">
        <f>0.69</f>
        <v>0.69</v>
      </c>
      <c r="B11">
        <f>36.99576302</f>
        <v>36.995763019999998</v>
      </c>
      <c r="C11">
        <f>34.91216662</f>
        <v>34.912166620000001</v>
      </c>
      <c r="D11">
        <f>36.4198265</f>
        <v>36.419826499999999</v>
      </c>
      <c r="E11">
        <f>71.33199312</f>
        <v>71.331993120000007</v>
      </c>
      <c r="F11">
        <f>36.0439829</f>
        <v>36.043982900000003</v>
      </c>
      <c r="G11">
        <f>34.01399063</f>
        <v>34.013990630000002</v>
      </c>
      <c r="H11">
        <f>9.940074196</f>
        <v>9.9400741959999994</v>
      </c>
      <c r="I11">
        <f>43.95406483</f>
        <v>43.95406483</v>
      </c>
      <c r="J11">
        <f>148.48735</f>
        <v>148.48734999999999</v>
      </c>
      <c r="K11">
        <f>5.7895382</f>
        <v>5.7895382</v>
      </c>
      <c r="L11">
        <f>7058.1135</f>
        <v>7058.1135000000004</v>
      </c>
    </row>
    <row r="12" spans="1:12" x14ac:dyDescent="0.25">
      <c r="A12">
        <f>0.7</f>
        <v>0.7</v>
      </c>
      <c r="B12">
        <f>37.53193349</f>
        <v>37.53193349</v>
      </c>
      <c r="C12">
        <f>35.48553995</f>
        <v>35.485539950000003</v>
      </c>
      <c r="D12">
        <f>36.29160306</f>
        <v>36.29160306</v>
      </c>
      <c r="E12">
        <f>71.77714301</f>
        <v>71.777143010000003</v>
      </c>
      <c r="F12">
        <f>36.56635947</f>
        <v>36.566359470000002</v>
      </c>
      <c r="G12">
        <f>34.57261294</f>
        <v>34.572612939999999</v>
      </c>
      <c r="H12">
        <f>9.95030049</f>
        <v>9.9503004900000001</v>
      </c>
      <c r="I12">
        <f>44.52291343</f>
        <v>44.522913430000003</v>
      </c>
      <c r="J12">
        <f>145.57219</f>
        <v>145.57219000000001</v>
      </c>
      <c r="K12">
        <f>5.8951815</f>
        <v>5.8951814999999996</v>
      </c>
      <c r="L12">
        <f>6820.6952</f>
        <v>6820.6952000000001</v>
      </c>
    </row>
    <row r="13" spans="1:12" x14ac:dyDescent="0.25">
      <c r="A13">
        <f>0.71</f>
        <v>0.71</v>
      </c>
      <c r="B13">
        <f>38.06810397</f>
        <v>38.068103970000003</v>
      </c>
      <c r="C13">
        <f>36.05897592</f>
        <v>36.058975920000002</v>
      </c>
      <c r="D13">
        <f>36.16316581</f>
        <v>36.163165810000002</v>
      </c>
      <c r="E13">
        <f>72.22214173</f>
        <v>72.222141730000004</v>
      </c>
      <c r="F13">
        <f>37.08873603</f>
        <v>37.08873603</v>
      </c>
      <c r="G13">
        <f>35.13129627</f>
        <v>35.13129627</v>
      </c>
      <c r="H13">
        <f>9.961512001</f>
        <v>9.9615120009999991</v>
      </c>
      <c r="I13">
        <f>45.09280828</f>
        <v>45.09280828</v>
      </c>
      <c r="J13">
        <f>142.50377</f>
        <v>142.50377</v>
      </c>
      <c r="K13">
        <f>6.0049397</f>
        <v>6.0049397000000004</v>
      </c>
      <c r="L13">
        <f>6582.8854</f>
        <v>6582.8854000000001</v>
      </c>
    </row>
    <row r="14" spans="1:12" x14ac:dyDescent="0.25">
      <c r="A14">
        <f>0.72</f>
        <v>0.72</v>
      </c>
      <c r="B14">
        <f>38.60427445</f>
        <v>38.604274449999998</v>
      </c>
      <c r="C14">
        <f>36.6324819</f>
        <v>36.632481900000002</v>
      </c>
      <c r="D14">
        <f>36.03448943</f>
        <v>36.034489430000001</v>
      </c>
      <c r="E14">
        <f>72.66697133</f>
        <v>72.666971329999996</v>
      </c>
      <c r="F14">
        <f>37.61111259</f>
        <v>37.611112589999998</v>
      </c>
      <c r="G14">
        <f>35.69004782</f>
        <v>35.690047819999997</v>
      </c>
      <c r="H14">
        <f>9.973763552</f>
        <v>9.9737635519999994</v>
      </c>
      <c r="I14">
        <f>45.66381137</f>
        <v>45.663811369999998</v>
      </c>
      <c r="J14">
        <f>139.28085</f>
        <v>139.28084999999999</v>
      </c>
      <c r="K14">
        <f>6.1190806</f>
        <v>6.1190806000000002</v>
      </c>
      <c r="L14">
        <f>6344.6427</f>
        <v>6344.6427000000003</v>
      </c>
    </row>
    <row r="15" spans="1:12" x14ac:dyDescent="0.25">
      <c r="A15">
        <f>0.73</f>
        <v>0.73</v>
      </c>
      <c r="B15">
        <f>39.14044493</f>
        <v>39.140444930000001</v>
      </c>
      <c r="C15">
        <f>37.20606652</f>
        <v>37.20606652</v>
      </c>
      <c r="D15">
        <f>35.90554431</f>
        <v>35.905544310000003</v>
      </c>
      <c r="E15">
        <f>73.11161082</f>
        <v>73.111610819999996</v>
      </c>
      <c r="F15">
        <f>38.13348916</f>
        <v>38.133489160000003</v>
      </c>
      <c r="G15">
        <f>36.24887598</f>
        <v>36.248875980000001</v>
      </c>
      <c r="H15">
        <f>9.98711493</f>
        <v>9.9871149300000006</v>
      </c>
      <c r="I15">
        <f>46.23599091</f>
        <v>46.235990909999998</v>
      </c>
      <c r="J15">
        <f>135.90195</f>
        <v>135.90195</v>
      </c>
      <c r="K15">
        <f>6.2378993</f>
        <v>6.2378992999999996</v>
      </c>
      <c r="L15">
        <f>6105.92</f>
        <v>6105.92</v>
      </c>
    </row>
    <row r="16" spans="1:12" x14ac:dyDescent="0.25">
      <c r="A16">
        <f>0.74</f>
        <v>0.74</v>
      </c>
      <c r="B16">
        <f>39.67661541</f>
        <v>39.676615409999997</v>
      </c>
      <c r="C16">
        <f>37.77973991</f>
        <v>37.779739910000004</v>
      </c>
      <c r="D16">
        <f>35.77629572</f>
        <v>35.77629572</v>
      </c>
      <c r="E16">
        <f>73.55603562</f>
        <v>73.556035620000003</v>
      </c>
      <c r="F16">
        <f>38.65586572</f>
        <v>38.655865720000001</v>
      </c>
      <c r="G16">
        <f>36.80779063</f>
        <v>36.80779063</v>
      </c>
      <c r="H16">
        <f>10.00163167</f>
        <v>10.00163167</v>
      </c>
      <c r="I16">
        <f>46.8094223</f>
        <v>46.809422300000001</v>
      </c>
      <c r="J16">
        <f>132.36541</f>
        <v>132.36541</v>
      </c>
      <c r="K16">
        <f>6.3617227</f>
        <v>6.3617226999999996</v>
      </c>
      <c r="L16">
        <f>5866.6621</f>
        <v>5866.6620999999996</v>
      </c>
    </row>
    <row r="17" spans="1:12" x14ac:dyDescent="0.25">
      <c r="A17">
        <f>0.75</f>
        <v>0.75</v>
      </c>
      <c r="B17">
        <f>40.21278589</f>
        <v>40.212785889999999</v>
      </c>
      <c r="C17">
        <f>38.35351407</f>
        <v>38.353514070000003</v>
      </c>
      <c r="D17">
        <f>35.64670245</f>
        <v>35.646702449999999</v>
      </c>
      <c r="E17">
        <f>74.00021652</f>
        <v>74.000216519999995</v>
      </c>
      <c r="F17">
        <f>39.17824229</f>
        <v>39.17824229</v>
      </c>
      <c r="G17">
        <f>37.36680346</f>
        <v>37.36680346</v>
      </c>
      <c r="H17">
        <f>10.01738592</f>
        <v>10.017385920000001</v>
      </c>
      <c r="I17">
        <f>47.38418938</f>
        <v>47.384189380000002</v>
      </c>
      <c r="J17">
        <f>128.66927</f>
        <v>128.66927000000001</v>
      </c>
      <c r="K17">
        <f>6.4909146</f>
        <v>6.4909146</v>
      </c>
      <c r="L17">
        <f>5626.805</f>
        <v>5626.8050000000003</v>
      </c>
    </row>
    <row r="18" spans="1:12" x14ac:dyDescent="0.25">
      <c r="A18">
        <f>0.76</f>
        <v>0.76</v>
      </c>
      <c r="B18">
        <f>40.74895637</f>
        <v>40.748956370000002</v>
      </c>
      <c r="C18">
        <f>38.92740333</f>
        <v>38.927403329999997</v>
      </c>
      <c r="D18">
        <f>35.51671533</f>
        <v>35.516715329999997</v>
      </c>
      <c r="E18">
        <f>74.44411866</f>
        <v>74.444118660000001</v>
      </c>
      <c r="F18">
        <f>39.70061885</f>
        <v>39.700618849999998</v>
      </c>
      <c r="G18">
        <f>37.92592842</f>
        <v>37.925928419999998</v>
      </c>
      <c r="H18">
        <f>10.03445761</f>
        <v>10.03445761</v>
      </c>
      <c r="I18">
        <f>47.96038603</f>
        <v>47.960386030000002</v>
      </c>
      <c r="J18">
        <f>124.81124</f>
        <v>124.81124</v>
      </c>
      <c r="K18">
        <f>6.6258829</f>
        <v>6.6258828999999997</v>
      </c>
      <c r="L18">
        <f>5386.2733</f>
        <v>5386.2732999999998</v>
      </c>
    </row>
    <row r="19" spans="1:12" x14ac:dyDescent="0.25">
      <c r="A19">
        <f>0.77</f>
        <v>0.77</v>
      </c>
      <c r="B19">
        <f>41.28512684</f>
        <v>41.285126839999997</v>
      </c>
      <c r="C19">
        <f>39.50142494</f>
        <v>39.50142494</v>
      </c>
      <c r="D19">
        <f>35.38627509</f>
        <v>35.386275089999998</v>
      </c>
      <c r="E19">
        <f>74.88770003</f>
        <v>74.887700030000005</v>
      </c>
      <c r="F19">
        <f>40.22299541</f>
        <v>40.222995410000003</v>
      </c>
      <c r="G19">
        <f>38.48518233</f>
        <v>38.485182330000001</v>
      </c>
      <c r="H19">
        <f>10.05293591</f>
        <v>10.05293591</v>
      </c>
      <c r="I19">
        <f>48.53811824</f>
        <v>48.538118240000003</v>
      </c>
      <c r="J19">
        <f>120.7886</f>
        <v>120.7886</v>
      </c>
      <c r="K19">
        <f>6.7670875</f>
        <v>6.7670874999999997</v>
      </c>
      <c r="L19">
        <f>5144.9778</f>
        <v>5144.9777999999997</v>
      </c>
    </row>
    <row r="20" spans="1:12" x14ac:dyDescent="0.25">
      <c r="A20">
        <f>0.78</f>
        <v>0.78</v>
      </c>
      <c r="B20">
        <f>41.82129732</f>
        <v>41.821297319999999</v>
      </c>
      <c r="C20">
        <f>40.0755999</f>
        <v>40.0755999</v>
      </c>
      <c r="D20">
        <f>35.25530957</f>
        <v>35.255309570000001</v>
      </c>
      <c r="E20">
        <f>75.33090947</f>
        <v>75.330909469999995</v>
      </c>
      <c r="F20">
        <f>40.74537198</f>
        <v>40.745371980000002</v>
      </c>
      <c r="G20">
        <f>39.04458565</f>
        <v>39.044585650000002</v>
      </c>
      <c r="H20">
        <f>10.07292109</f>
        <v>10.072921089999999</v>
      </c>
      <c r="I20">
        <f>49.11750674</f>
        <v>49.117506740000003</v>
      </c>
      <c r="J20">
        <f>116.59812</f>
        <v>116.59811999999999</v>
      </c>
      <c r="K20">
        <f>6.9150517</f>
        <v>6.9150517000000002</v>
      </c>
      <c r="L20">
        <f>4902.8116</f>
        <v>4902.8116</v>
      </c>
    </row>
    <row r="21" spans="1:12" x14ac:dyDescent="0.25">
      <c r="A21">
        <f>0.79</f>
        <v>0.79</v>
      </c>
      <c r="B21">
        <f>42.3574678</f>
        <v>42.357467800000002</v>
      </c>
      <c r="C21">
        <f>40.64995408</f>
        <v>40.649954080000001</v>
      </c>
      <c r="D21">
        <f>35.12372993</f>
        <v>35.123729930000003</v>
      </c>
      <c r="E21">
        <f>75.773684</f>
        <v>75.773684000000003</v>
      </c>
      <c r="F21">
        <f>41.26774854</f>
        <v>41.267748539999999</v>
      </c>
      <c r="G21">
        <f>39.60416357</f>
        <v>39.604163569999997</v>
      </c>
      <c r="H21">
        <f>10.09452702</f>
        <v>10.094527019999999</v>
      </c>
      <c r="I21">
        <f>49.69869058</f>
        <v>49.698690579999997</v>
      </c>
      <c r="J21">
        <f>112.23587</f>
        <v>112.23587000000001</v>
      </c>
      <c r="K21">
        <f>7.0703764</f>
        <v>7.0703763999999998</v>
      </c>
      <c r="L21">
        <f>4659.6454</f>
        <v>4659.6454000000003</v>
      </c>
    </row>
    <row r="22" spans="1:12" x14ac:dyDescent="0.25">
      <c r="A22">
        <f>0.8</f>
        <v>0.8</v>
      </c>
      <c r="B22">
        <f>42.89363828</f>
        <v>42.893638279999998</v>
      </c>
      <c r="C22">
        <f>41.2245197</f>
        <v>41.224519700000002</v>
      </c>
      <c r="D22">
        <f>34.99142535</f>
        <v>34.99142535</v>
      </c>
      <c r="E22">
        <f>76.21594506</f>
        <v>76.215945059999996</v>
      </c>
      <c r="F22">
        <f>41.79012511</f>
        <v>41.790125109999998</v>
      </c>
      <c r="G22">
        <f>40.1639475</f>
        <v>40.163947499999999</v>
      </c>
      <c r="H22">
        <f>10.11788447</f>
        <v>10.11788447</v>
      </c>
      <c r="I22">
        <f>50.28183197</f>
        <v>50.281831969999999</v>
      </c>
      <c r="J22">
        <f>107.69711</f>
        <v>107.69711</v>
      </c>
      <c r="K22">
        <f>7.2337596</f>
        <v>7.2337596</v>
      </c>
      <c r="L22">
        <f>4415.3215</f>
        <v>4415.3215</v>
      </c>
    </row>
    <row r="23" spans="1:12" x14ac:dyDescent="0.25">
      <c r="A23">
        <f>0.81</f>
        <v>0.81</v>
      </c>
      <c r="B23">
        <f>43.42980876</f>
        <v>43.42980876</v>
      </c>
      <c r="C23">
        <f>41.79933758</f>
        <v>41.79933758</v>
      </c>
      <c r="D23">
        <f>34.85825559</f>
        <v>34.858255589999999</v>
      </c>
      <c r="E23">
        <f>76.65759317</f>
        <v>76.657593169999998</v>
      </c>
      <c r="F23">
        <f>42.31250167</f>
        <v>42.312501670000003</v>
      </c>
      <c r="G23">
        <f>40.72397719</f>
        <v>40.723977189999999</v>
      </c>
      <c r="H23">
        <f>10.14314579</f>
        <v>10.14314579</v>
      </c>
      <c r="I23">
        <f>50.86712298</f>
        <v>50.867122979999998</v>
      </c>
      <c r="J23">
        <f>102.97593</f>
        <v>102.97593000000001</v>
      </c>
      <c r="K23">
        <f>7.4060233</f>
        <v>7.4060233000000002</v>
      </c>
      <c r="L23">
        <f>4169.6441</f>
        <v>4169.6441000000004</v>
      </c>
    </row>
    <row r="24" spans="1:12" x14ac:dyDescent="0.25">
      <c r="A24">
        <f>0.82</f>
        <v>0.82</v>
      </c>
      <c r="B24">
        <f>43.96597924</f>
        <v>43.965979240000003</v>
      </c>
      <c r="C24">
        <f>42.37446023</f>
        <v>42.374460229999997</v>
      </c>
      <c r="D24">
        <f>34.72404005</f>
        <v>34.724040049999999</v>
      </c>
      <c r="E24">
        <f>77.09850028</f>
        <v>77.098500279999996</v>
      </c>
      <c r="F24">
        <f>42.83487823</f>
        <v>42.834878230000001</v>
      </c>
      <c r="G24">
        <f>41.28430381</f>
        <v>41.284303809999997</v>
      </c>
      <c r="H24">
        <f>10.17049138</f>
        <v>10.17049138</v>
      </c>
      <c r="I24">
        <f>51.45479519</f>
        <v>51.454795189999999</v>
      </c>
      <c r="J24">
        <f>98.064943</f>
        <v>98.064943</v>
      </c>
      <c r="K24">
        <f>7.5881515</f>
        <v>7.5881515000000004</v>
      </c>
      <c r="L24">
        <f>3922.3668</f>
        <v>3922.3667999999998</v>
      </c>
    </row>
    <row r="25" spans="1:12" x14ac:dyDescent="0.25">
      <c r="A25">
        <f>0.83</f>
        <v>0.83</v>
      </c>
      <c r="B25">
        <f>44.50214972</f>
        <v>44.502149719999998</v>
      </c>
      <c r="C25">
        <f>42.9499566</f>
        <v>42.9499566</v>
      </c>
      <c r="D25">
        <f>34.58854158</f>
        <v>34.588541579999998</v>
      </c>
      <c r="E25">
        <f>77.53849819</f>
        <v>77.538498189999999</v>
      </c>
      <c r="F25">
        <f>43.3572548</f>
        <v>43.3572548</v>
      </c>
      <c r="G25">
        <f>41.84499454</f>
        <v>41.844994540000002</v>
      </c>
      <c r="H25">
        <f>10.20013937</f>
        <v>10.20013937</v>
      </c>
      <c r="I25">
        <f>52.04513391</f>
        <v>52.045133909999997</v>
      </c>
      <c r="J25">
        <f>92.954688</f>
        <v>92.954688000000004</v>
      </c>
      <c r="K25">
        <f>7.7813455</f>
        <v>7.7813454999999996</v>
      </c>
      <c r="L25">
        <f>3673.1738</f>
        <v>3673.1738</v>
      </c>
    </row>
    <row r="26" spans="1:12" x14ac:dyDescent="0.25">
      <c r="A26">
        <f>0.84</f>
        <v>0.84</v>
      </c>
      <c r="B26">
        <f>45.03832019</f>
        <v>45.03832019</v>
      </c>
      <c r="C26">
        <f>43.52591708</f>
        <v>43.525917079999999</v>
      </c>
      <c r="D26">
        <f>34.45144932</f>
        <v>34.451449320000002</v>
      </c>
      <c r="E26">
        <f>77.9773664</f>
        <v>77.977366399999994</v>
      </c>
      <c r="F26">
        <f>43.87963136</f>
        <v>43.879631359999998</v>
      </c>
      <c r="G26">
        <f>42.40613744</f>
        <v>42.406137440000002</v>
      </c>
      <c r="H26">
        <f>10.2323583</f>
        <v>10.2323583</v>
      </c>
      <c r="I26">
        <f>52.63849573</f>
        <v>52.638495730000002</v>
      </c>
      <c r="J26">
        <f>87.636868</f>
        <v>87.636868000000007</v>
      </c>
      <c r="K26">
        <f>7.9870966</f>
        <v>7.9870966000000001</v>
      </c>
      <c r="L26">
        <f>3421.8096</f>
        <v>3421.8096</v>
      </c>
    </row>
    <row r="27" spans="1:12" x14ac:dyDescent="0.25">
      <c r="A27">
        <f>0.85</f>
        <v>0.85</v>
      </c>
      <c r="B27">
        <f>45.57449067</f>
        <v>45.574490670000003</v>
      </c>
      <c r="C27">
        <f>44.10247443</f>
        <v>44.102474430000001</v>
      </c>
      <c r="D27">
        <f>34.31230647</f>
        <v>34.312306470000003</v>
      </c>
      <c r="E27">
        <f>78.41478089</f>
        <v>78.414780890000003</v>
      </c>
      <c r="F27">
        <f>44.40200792</f>
        <v>44.402007920000003</v>
      </c>
      <c r="G27">
        <f>42.96786185</f>
        <v>42.967861849999998</v>
      </c>
      <c r="H27">
        <f>10.26749802</f>
        <v>10.26749802</v>
      </c>
      <c r="I27">
        <f>53.23535986</f>
        <v>53.235359860000003</v>
      </c>
      <c r="J27">
        <f>82.086407</f>
        <v>82.086406999999994</v>
      </c>
      <c r="K27">
        <f>8.2073676</f>
        <v>8.2073675999999995</v>
      </c>
      <c r="L27">
        <f>3167.3831</f>
        <v>3167.3831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K19" sqref="K19"/>
    </sheetView>
  </sheetViews>
  <sheetFormatPr defaultRowHeight="15" x14ac:dyDescent="0.25"/>
  <sheetData>
    <row r="1" spans="1:1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25">
      <c r="A2">
        <f>0.6</f>
        <v>0.6</v>
      </c>
      <c r="B2">
        <f>32.62980341</f>
        <v>32.629803410000001</v>
      </c>
      <c r="C2">
        <f>30.17808799</f>
        <v>30.178087990000002</v>
      </c>
      <c r="D2">
        <f>36.6629069</f>
        <v>36.662906900000003</v>
      </c>
      <c r="E2">
        <f>66.84099489</f>
        <v>66.840994890000005</v>
      </c>
      <c r="F2">
        <f>31.79034517</f>
        <v>31.790345169999998</v>
      </c>
      <c r="G2">
        <f>29.40170438</f>
        <v>29.401704380000002</v>
      </c>
      <c r="H2">
        <f>9.530428013</f>
        <v>9.5304280129999999</v>
      </c>
      <c r="I2">
        <f>38.93213239</f>
        <v>38.93213239</v>
      </c>
      <c r="J2">
        <f>167.48528</f>
        <v>167.48527999999999</v>
      </c>
      <c r="K2">
        <f>4.9878097</f>
        <v>4.9878096999999997</v>
      </c>
      <c r="L2">
        <f>9155.3229</f>
        <v>9155.3228999999992</v>
      </c>
    </row>
    <row r="3" spans="1:12" x14ac:dyDescent="0.25">
      <c r="A3">
        <f>0.61</f>
        <v>0.61</v>
      </c>
      <c r="B3">
        <f>33.17363346</f>
        <v>33.173633459999998</v>
      </c>
      <c r="C3">
        <f>30.75929497</f>
        <v>30.759294969999999</v>
      </c>
      <c r="D3">
        <f>36.5340679</f>
        <v>36.534067899999997</v>
      </c>
      <c r="E3">
        <f>67.29336287</f>
        <v>67.293362869999996</v>
      </c>
      <c r="F3">
        <f>32.32018426</f>
        <v>32.320184259999998</v>
      </c>
      <c r="G3">
        <f>29.96795881</f>
        <v>29.967958809999999</v>
      </c>
      <c r="H3">
        <f>9.531701773</f>
        <v>9.531701773</v>
      </c>
      <c r="I3">
        <f>39.49966058</f>
        <v>39.499660579999997</v>
      </c>
      <c r="J3">
        <f>165.90291</f>
        <v>165.90290999999999</v>
      </c>
      <c r="K3">
        <f>5.0652702</f>
        <v>5.0652701999999996</v>
      </c>
      <c r="L3">
        <f>8920.1558</f>
        <v>8920.1558000000005</v>
      </c>
    </row>
    <row r="4" spans="1:12" x14ac:dyDescent="0.25">
      <c r="A4">
        <f>0.62</f>
        <v>0.62</v>
      </c>
      <c r="B4">
        <f>33.71746352</f>
        <v>33.717463520000003</v>
      </c>
      <c r="C4">
        <f>31.34052955</f>
        <v>31.340529549999999</v>
      </c>
      <c r="D4">
        <f>36.40513505</f>
        <v>36.405135049999998</v>
      </c>
      <c r="E4">
        <f>67.7456646</f>
        <v>67.745664599999998</v>
      </c>
      <c r="F4">
        <f>32.85002334</f>
        <v>32.85002334</v>
      </c>
      <c r="G4">
        <f>30.53424012</f>
        <v>30.53424012</v>
      </c>
      <c r="H4">
        <f>9.533571549</f>
        <v>9.5335715489999995</v>
      </c>
      <c r="I4">
        <f>40.06781167</f>
        <v>40.067811669999998</v>
      </c>
      <c r="J4">
        <f>164.17359</f>
        <v>164.17358999999999</v>
      </c>
      <c r="K4">
        <f>5.1452345</f>
        <v>5.1452344999999999</v>
      </c>
      <c r="L4">
        <f>8684.8013</f>
        <v>8684.8012999999992</v>
      </c>
    </row>
    <row r="5" spans="1:12" x14ac:dyDescent="0.25">
      <c r="A5">
        <f>0.63</f>
        <v>0.63</v>
      </c>
      <c r="B5">
        <f>34.26129358</f>
        <v>34.26129358</v>
      </c>
      <c r="C5">
        <f>31.9217941</f>
        <v>31.9217941</v>
      </c>
      <c r="D5">
        <f>36.27610023</f>
        <v>36.276100229999997</v>
      </c>
      <c r="E5">
        <f>68.19789434</f>
        <v>68.197894340000005</v>
      </c>
      <c r="F5">
        <f>33.37986243</f>
        <v>33.379862430000003</v>
      </c>
      <c r="G5">
        <f>31.10055063</f>
        <v>31.100550630000001</v>
      </c>
      <c r="H5">
        <f>9.536064063</f>
        <v>9.5360640629999995</v>
      </c>
      <c r="I5">
        <f>40.63661469</f>
        <v>40.636614690000002</v>
      </c>
      <c r="J5">
        <f>162.29688</f>
        <v>162.29687999999999</v>
      </c>
      <c r="K5">
        <f>5.2278312</f>
        <v>5.2278311999999998</v>
      </c>
      <c r="L5">
        <f>8449.2449</f>
        <v>8449.2448999999997</v>
      </c>
    </row>
    <row r="6" spans="1:12" x14ac:dyDescent="0.25">
      <c r="A6">
        <f>0.64</f>
        <v>0.64</v>
      </c>
      <c r="B6">
        <f>34.80512363</f>
        <v>34.805123629999997</v>
      </c>
      <c r="C6">
        <f>32.50309128</f>
        <v>32.50309128</v>
      </c>
      <c r="D6">
        <f>36.14695434</f>
        <v>36.146954340000001</v>
      </c>
      <c r="E6">
        <f>68.65004562</f>
        <v>68.65004562</v>
      </c>
      <c r="F6">
        <f>33.90970151</f>
        <v>33.909701509999998</v>
      </c>
      <c r="G6">
        <f>31.66689293</f>
        <v>31.666892929999999</v>
      </c>
      <c r="H6">
        <f>9.539207796</f>
        <v>9.5392077959999995</v>
      </c>
      <c r="I6">
        <f>41.20610073</f>
        <v>41.206100730000003</v>
      </c>
      <c r="J6">
        <f>160.27227</f>
        <v>160.27226999999999</v>
      </c>
      <c r="K6">
        <f>5.3131986</f>
        <v>5.3131985999999998</v>
      </c>
      <c r="L6">
        <f>8213.4704</f>
        <v>8213.4704000000002</v>
      </c>
    </row>
    <row r="7" spans="1:12" x14ac:dyDescent="0.25">
      <c r="A7">
        <f>0.65</f>
        <v>0.65</v>
      </c>
      <c r="B7">
        <f>35.34895369</f>
        <v>35.348953690000002</v>
      </c>
      <c r="C7">
        <f>33.08442407</f>
        <v>33.084424069999997</v>
      </c>
      <c r="D7">
        <f>36.01768714</f>
        <v>36.01768714</v>
      </c>
      <c r="E7">
        <f>69.10211121</f>
        <v>69.102111210000004</v>
      </c>
      <c r="F7">
        <f>34.4395406</f>
        <v>34.439540600000001</v>
      </c>
      <c r="G7">
        <f>32.23326993</f>
        <v>32.233269929999999</v>
      </c>
      <c r="H7">
        <f>9.543033151</f>
        <v>9.5430331509999995</v>
      </c>
      <c r="I7">
        <f>41.77630308</f>
        <v>41.776303079999998</v>
      </c>
      <c r="J7">
        <f>158.09921</f>
        <v>158.09921</v>
      </c>
      <c r="K7">
        <f>5.4014856</f>
        <v>5.4014856</v>
      </c>
      <c r="L7">
        <f>7977.4596</f>
        <v>7977.4596000000001</v>
      </c>
    </row>
    <row r="8" spans="1:12" x14ac:dyDescent="0.25">
      <c r="A8">
        <f>0.66</f>
        <v>0.66</v>
      </c>
      <c r="B8">
        <f>35.89278375</f>
        <v>35.89278375</v>
      </c>
      <c r="C8">
        <f>33.66579587</f>
        <v>33.665795869999997</v>
      </c>
      <c r="D8">
        <f>35.88828707</f>
        <v>35.888287069999997</v>
      </c>
      <c r="E8">
        <f>69.55408294</f>
        <v>69.554082940000001</v>
      </c>
      <c r="F8">
        <f>34.96937969</f>
        <v>34.969379689999997</v>
      </c>
      <c r="G8">
        <f>32.79968493</f>
        <v>32.799684929999998</v>
      </c>
      <c r="H8">
        <f>9.547572646</f>
        <v>9.5475726460000008</v>
      </c>
      <c r="I8">
        <f>42.34725758</f>
        <v>42.347257579999997</v>
      </c>
      <c r="J8">
        <f>155.77707</f>
        <v>155.77707000000001</v>
      </c>
      <c r="K8">
        <f>5.4928526</f>
        <v>5.4928526</v>
      </c>
      <c r="L8">
        <f>7741.1926</f>
        <v>7741.1926000000003</v>
      </c>
    </row>
    <row r="9" spans="1:12" x14ac:dyDescent="0.25">
      <c r="A9">
        <f>0.67</f>
        <v>0.67</v>
      </c>
      <c r="B9">
        <f>36.4366138</f>
        <v>36.436613800000003</v>
      </c>
      <c r="C9">
        <f>34.24721047</f>
        <v>34.247210469999999</v>
      </c>
      <c r="D9">
        <f>35.75874105</f>
        <v>35.758741049999998</v>
      </c>
      <c r="E9">
        <f>70.00595153</f>
        <v>70.005951530000004</v>
      </c>
      <c r="F9">
        <f>35.49921877</f>
        <v>35.499218769999999</v>
      </c>
      <c r="G9">
        <f>33.36614164</f>
        <v>33.366141640000002</v>
      </c>
      <c r="H9">
        <f>9.552861133</f>
        <v>9.5528611330000004</v>
      </c>
      <c r="I9">
        <f>42.91900277</f>
        <v>42.919002769999999</v>
      </c>
      <c r="J9">
        <f>153.30516</f>
        <v>153.30516</v>
      </c>
      <c r="K9">
        <f>5.5874735</f>
        <v>5.5874734999999998</v>
      </c>
      <c r="L9">
        <f>7504.6467</f>
        <v>7504.6467000000002</v>
      </c>
    </row>
    <row r="10" spans="1:12" x14ac:dyDescent="0.25">
      <c r="A10">
        <f>0.68</f>
        <v>0.68</v>
      </c>
      <c r="B10">
        <f>36.98044386</f>
        <v>36.980443860000001</v>
      </c>
      <c r="C10">
        <f>34.82867224</f>
        <v>34.828672240000003</v>
      </c>
      <c r="D10">
        <f>35.62903419</f>
        <v>35.629034189999999</v>
      </c>
      <c r="E10">
        <f>70.45770643</f>
        <v>70.457706430000002</v>
      </c>
      <c r="F10">
        <f>36.02905786</f>
        <v>36.029057860000002</v>
      </c>
      <c r="G10">
        <f>33.9326443</f>
        <v>33.9326443</v>
      </c>
      <c r="H10">
        <f>9.558936041</f>
        <v>9.5589360410000008</v>
      </c>
      <c r="I10">
        <f>43.49158034</f>
        <v>43.491580339999999</v>
      </c>
      <c r="J10">
        <f>150.6827</f>
        <v>150.68270000000001</v>
      </c>
      <c r="K10">
        <f>5.6855365</f>
        <v>5.6855365000000004</v>
      </c>
      <c r="L10">
        <f>7267.7966</f>
        <v>7267.7965999999997</v>
      </c>
    </row>
    <row r="11" spans="1:12" x14ac:dyDescent="0.25">
      <c r="A11">
        <f>0.69</f>
        <v>0.69</v>
      </c>
      <c r="B11">
        <f>37.52427392</f>
        <v>37.524273919999999</v>
      </c>
      <c r="C11">
        <f>35.41018614</f>
        <v>35.41018614</v>
      </c>
      <c r="D11">
        <f>35.49914947</f>
        <v>35.499149469999999</v>
      </c>
      <c r="E11">
        <f>70.90933561</f>
        <v>70.909335609999999</v>
      </c>
      <c r="F11">
        <f>36.55889694</f>
        <v>36.558896939999997</v>
      </c>
      <c r="G11">
        <f>34.49919774</f>
        <v>34.49919774</v>
      </c>
      <c r="H11">
        <f>9.565837675</f>
        <v>9.5658376749999992</v>
      </c>
      <c r="I11">
        <f>44.06503541</f>
        <v>44.06503541</v>
      </c>
      <c r="J11">
        <f>147.90881</f>
        <v>147.90880999999999</v>
      </c>
      <c r="K11">
        <f>5.7872462</f>
        <v>5.7872462000000002</v>
      </c>
      <c r="L11">
        <f>7030.6134</f>
        <v>7030.6134000000002</v>
      </c>
    </row>
    <row r="12" spans="1:12" x14ac:dyDescent="0.25">
      <c r="A12">
        <f>0.7</f>
        <v>0.7</v>
      </c>
      <c r="B12">
        <f>38.06810397</f>
        <v>38.068103970000003</v>
      </c>
      <c r="C12">
        <f>35.99175786</f>
        <v>35.99175786</v>
      </c>
      <c r="D12">
        <f>35.36906735</f>
        <v>35.369067350000002</v>
      </c>
      <c r="E12">
        <f>71.36082522</f>
        <v>71.360825219999995</v>
      </c>
      <c r="F12">
        <f>37.08873603</f>
        <v>37.08873603</v>
      </c>
      <c r="G12">
        <f>35.06580752</f>
        <v>35.06580752</v>
      </c>
      <c r="H12">
        <f>9.573609551</f>
        <v>9.5736095510000006</v>
      </c>
      <c r="I12">
        <f>44.63941707</f>
        <v>44.63941707</v>
      </c>
      <c r="J12">
        <f>144.98248</f>
        <v>144.98248000000001</v>
      </c>
      <c r="K12">
        <f>5.892826</f>
        <v>5.8928260000000003</v>
      </c>
      <c r="L12">
        <f>6793.0646</f>
        <v>6793.0645999999997</v>
      </c>
    </row>
    <row r="13" spans="1:12" x14ac:dyDescent="0.25">
      <c r="A13">
        <f>0.71</f>
        <v>0.71</v>
      </c>
      <c r="B13">
        <f>38.61193403</f>
        <v>38.61193403</v>
      </c>
      <c r="C13">
        <f>36.573394</f>
        <v>36.573394</v>
      </c>
      <c r="D13">
        <f>35.23876525</f>
        <v>35.23876525</v>
      </c>
      <c r="E13">
        <f>71.81215925</f>
        <v>71.812159249999993</v>
      </c>
      <c r="F13">
        <f>37.61857512</f>
        <v>37.618575120000003</v>
      </c>
      <c r="G13">
        <f>35.63248006</f>
        <v>35.632480059999999</v>
      </c>
      <c r="H13">
        <f>9.582298793</f>
        <v>9.5822987929999996</v>
      </c>
      <c r="I13">
        <f>45.21477886</f>
        <v>45.214778860000003</v>
      </c>
      <c r="J13">
        <f>141.90257</f>
        <v>141.90257</v>
      </c>
      <c r="K13">
        <f>6.0025201</f>
        <v>6.0025200999999999</v>
      </c>
      <c r="L13">
        <f>6555.113</f>
        <v>6555.1130000000003</v>
      </c>
    </row>
    <row r="14" spans="1:12" x14ac:dyDescent="0.25">
      <c r="A14">
        <f>0.72</f>
        <v>0.72</v>
      </c>
      <c r="B14">
        <f>39.15576409</f>
        <v>39.155764089999998</v>
      </c>
      <c r="C14">
        <f>37.1551022</f>
        <v>37.155102200000002</v>
      </c>
      <c r="D14">
        <f>35.10821695</f>
        <v>35.108216949999999</v>
      </c>
      <c r="E14">
        <f>72.26331915</f>
        <v>72.263319150000001</v>
      </c>
      <c r="F14">
        <f>38.1484142</f>
        <v>38.148414199999998</v>
      </c>
      <c r="G14">
        <f>36.19922281</f>
        <v>36.199222810000002</v>
      </c>
      <c r="H14">
        <f>9.591956615</f>
        <v>9.5919566150000009</v>
      </c>
      <c r="I14">
        <f>45.79117942</f>
        <v>45.791179419999999</v>
      </c>
      <c r="J14">
        <f>138.66778</f>
        <v>138.66777999999999</v>
      </c>
      <c r="K14">
        <f>6.1165966</f>
        <v>6.1165966000000003</v>
      </c>
      <c r="L14">
        <f>6316.716</f>
        <v>6316.7160000000003</v>
      </c>
    </row>
    <row r="15" spans="1:12" x14ac:dyDescent="0.25">
      <c r="A15">
        <f>0.73</f>
        <v>0.73</v>
      </c>
      <c r="B15">
        <f>39.69959414</f>
        <v>39.699594140000002</v>
      </c>
      <c r="C15">
        <f>37.73689137</f>
        <v>37.736891370000002</v>
      </c>
      <c r="D15">
        <f>34.97739178</f>
        <v>34.977391779999998</v>
      </c>
      <c r="E15">
        <f>72.71428316</f>
        <v>72.714283159999994</v>
      </c>
      <c r="F15">
        <f>38.67825329</f>
        <v>38.678253290000001</v>
      </c>
      <c r="G15">
        <f>36.76604445</f>
        <v>36.766044450000003</v>
      </c>
      <c r="H15">
        <f>9.602638879</f>
        <v>9.6026388790000006</v>
      </c>
      <c r="I15">
        <f>46.36868333</f>
        <v>46.368683330000003</v>
      </c>
      <c r="J15">
        <f>135.27662</f>
        <v>135.27662000000001</v>
      </c>
      <c r="K15">
        <f>6.2353514</f>
        <v>6.2353513999999999</v>
      </c>
      <c r="L15">
        <f>6077.8243</f>
        <v>6077.8243000000002</v>
      </c>
    </row>
    <row r="16" spans="1:12" x14ac:dyDescent="0.25">
      <c r="A16">
        <f>0.74</f>
        <v>0.74</v>
      </c>
      <c r="B16">
        <f>40.2434242</f>
        <v>40.2434242</v>
      </c>
      <c r="C16">
        <f>38.31877205</f>
        <v>38.31877205</v>
      </c>
      <c r="D16">
        <f>34.84625372</f>
        <v>34.84625372</v>
      </c>
      <c r="E16">
        <f>73.16502577</f>
        <v>73.16502577</v>
      </c>
      <c r="F16">
        <f>39.20809238</f>
        <v>39.208092379999997</v>
      </c>
      <c r="G16">
        <f>37.33295524</f>
        <v>37.332955239999997</v>
      </c>
      <c r="H16">
        <f>9.614406835</f>
        <v>9.6144068350000005</v>
      </c>
      <c r="I16">
        <f>46.94736207</f>
        <v>46.947362069999997</v>
      </c>
      <c r="J16">
        <f>131.72733</f>
        <v>131.72732999999999</v>
      </c>
      <c r="K16">
        <f>6.3591122</f>
        <v>6.3591122000000002</v>
      </c>
      <c r="L16">
        <f>5838.3809</f>
        <v>5838.3809000000001</v>
      </c>
    </row>
    <row r="17" spans="1:12" x14ac:dyDescent="0.25">
      <c r="A17">
        <f>0.75</f>
        <v>0.75</v>
      </c>
      <c r="B17">
        <f>40.78725426</f>
        <v>40.787254259999997</v>
      </c>
      <c r="C17">
        <f>38.90075668</f>
        <v>38.900756680000001</v>
      </c>
      <c r="D17">
        <f>34.71475998</f>
        <v>34.714759979999997</v>
      </c>
      <c r="E17">
        <f>73.61551666</f>
        <v>73.615516659999997</v>
      </c>
      <c r="F17">
        <f>39.73793146</f>
        <v>39.737931459999999</v>
      </c>
      <c r="G17">
        <f>37.8999673</f>
        <v>37.8999673</v>
      </c>
      <c r="H17">
        <f>9.627327922</f>
        <v>9.6273279219999992</v>
      </c>
      <c r="I17">
        <f>47.52729522</f>
        <v>47.527295219999999</v>
      </c>
      <c r="J17">
        <f>128.01788</f>
        <v>128.01787999999999</v>
      </c>
      <c r="K17">
        <f>6.4882444</f>
        <v>6.4882444000000001</v>
      </c>
      <c r="L17">
        <f>5598.3191</f>
        <v>5598.3190999999997</v>
      </c>
    </row>
    <row r="18" spans="1:12" x14ac:dyDescent="0.25">
      <c r="A18">
        <f>0.76</f>
        <v>0.76</v>
      </c>
      <c r="B18">
        <f>41.33108431</f>
        <v>41.331084310000001</v>
      </c>
      <c r="C18">
        <f>39.48286015</f>
        <v>39.48286015</v>
      </c>
      <c r="D18">
        <f>34.58285942</f>
        <v>34.582859419999998</v>
      </c>
      <c r="E18">
        <f>74.06571957</f>
        <v>74.065719569999999</v>
      </c>
      <c r="F18">
        <f>40.26777055</f>
        <v>40.267770550000002</v>
      </c>
      <c r="G18">
        <f>38.46709515</f>
        <v>38.467095149999999</v>
      </c>
      <c r="H18">
        <f>9.641476884</f>
        <v>9.6414768839999994</v>
      </c>
      <c r="I18">
        <f>48.10857204</f>
        <v>48.108572039999999</v>
      </c>
      <c r="J18">
        <f>124.1459</f>
        <v>124.1459</v>
      </c>
      <c r="K18">
        <f>6.6231573</f>
        <v>6.6231572999999999</v>
      </c>
      <c r="L18">
        <f>5357.5602</f>
        <v>5357.5601999999999</v>
      </c>
    </row>
    <row r="19" spans="1:12" x14ac:dyDescent="0.25">
      <c r="A19">
        <f>0.77</f>
        <v>0.77</v>
      </c>
      <c r="B19">
        <f>41.87491437</f>
        <v>41.874914369999999</v>
      </c>
      <c r="C19">
        <f>40.06510044</f>
        <v>40.065100440000002</v>
      </c>
      <c r="D19">
        <f>34.4504903</f>
        <v>34.450490299999998</v>
      </c>
      <c r="E19">
        <f>74.51559073</f>
        <v>74.51559073</v>
      </c>
      <c r="F19">
        <f>40.79760963</f>
        <v>40.797609629999997</v>
      </c>
      <c r="G19">
        <f>39.0343563</f>
        <v>39.034356299999999</v>
      </c>
      <c r="H19">
        <f>9.65693713</f>
        <v>9.6569371299999993</v>
      </c>
      <c r="I19">
        <f>48.69129343</f>
        <v>48.691293430000002</v>
      </c>
      <c r="J19">
        <f>120.10855</f>
        <v>120.10854999999999</v>
      </c>
      <c r="K19">
        <f>6.7643135</f>
        <v>6.7643135000000001</v>
      </c>
      <c r="L19">
        <f>5116.0112</f>
        <v>5116.0111999999999</v>
      </c>
    </row>
    <row r="20" spans="1:12" x14ac:dyDescent="0.25">
      <c r="A20">
        <f>0.78</f>
        <v>0.78</v>
      </c>
      <c r="B20">
        <f>42.41874443</f>
        <v>42.418744429999997</v>
      </c>
      <c r="C20">
        <f>40.64749945</f>
        <v>40.647499449999998</v>
      </c>
      <c r="D20">
        <f>34.31757734</f>
        <v>34.31757734</v>
      </c>
      <c r="E20">
        <f>74.96507679</f>
        <v>74.965076789999998</v>
      </c>
      <c r="F20">
        <f>41.32744872</f>
        <v>41.32744872</v>
      </c>
      <c r="G20">
        <f>39.60177209</f>
        <v>39.601772089999997</v>
      </c>
      <c r="H20">
        <f>9.673802508</f>
        <v>9.6738025079999996</v>
      </c>
      <c r="I20">
        <f>49.2755746</f>
        <v>49.275574599999999</v>
      </c>
      <c r="J20">
        <f>115.90246</f>
        <v>115.90246</v>
      </c>
      <c r="K20">
        <f>6.9122395</f>
        <v>6.9122395000000001</v>
      </c>
      <c r="L20">
        <f>4873.5601</f>
        <v>4873.5600999999997</v>
      </c>
    </row>
    <row r="21" spans="1:12" x14ac:dyDescent="0.25">
      <c r="A21">
        <f>0.79</f>
        <v>0.79</v>
      </c>
      <c r="B21">
        <f>42.96257448</f>
        <v>42.962574480000001</v>
      </c>
      <c r="C21">
        <f>41.23008421</f>
        <v>41.230084210000001</v>
      </c>
      <c r="D21">
        <f>34.18402768</f>
        <v>34.18402768</v>
      </c>
      <c r="E21">
        <f>75.41411189</f>
        <v>75.414111890000001</v>
      </c>
      <c r="F21">
        <f>41.85728781</f>
        <v>41.857287810000003</v>
      </c>
      <c r="G21">
        <f>40.16936885</f>
        <v>40.169368849999998</v>
      </c>
      <c r="H21">
        <f>9.692179651</f>
        <v>9.692179651</v>
      </c>
      <c r="I21">
        <f>49.8615485</f>
        <v>49.861548499999998</v>
      </c>
      <c r="J21">
        <f>111.52353</f>
        <v>111.52352999999999</v>
      </c>
      <c r="K21">
        <f>7.067541</f>
        <v>7.0675410000000003</v>
      </c>
      <c r="L21">
        <f>4630.0716</f>
        <v>4630.0716000000002</v>
      </c>
    </row>
    <row r="22" spans="1:12" x14ac:dyDescent="0.25">
      <c r="A22">
        <f>0.8</f>
        <v>0.8</v>
      </c>
      <c r="B22">
        <f>43.50640454</f>
        <v>43.506404539999998</v>
      </c>
      <c r="C22">
        <f>41.8128885</f>
        <v>41.8128885</v>
      </c>
      <c r="D22">
        <f>34.04972521</f>
        <v>34.049725209999998</v>
      </c>
      <c r="E22">
        <f>75.86261371</f>
        <v>75.862613710000005</v>
      </c>
      <c r="F22">
        <f>42.38712689</f>
        <v>42.387126889999998</v>
      </c>
      <c r="G22">
        <f>40.73717948</f>
        <v>40.737179480000002</v>
      </c>
      <c r="H22">
        <f>9.712191147</f>
        <v>9.7121911470000004</v>
      </c>
      <c r="I22">
        <f>50.44937063</f>
        <v>50.449370629999997</v>
      </c>
      <c r="J22">
        <f>106.96678</f>
        <v>106.96678</v>
      </c>
      <c r="K22">
        <f>7.2309228</f>
        <v>7.2309228000000001</v>
      </c>
      <c r="L22">
        <f>4385.3797</f>
        <v>4385.3797000000004</v>
      </c>
    </row>
    <row r="23" spans="1:12" x14ac:dyDescent="0.25">
      <c r="A23">
        <f>0.81</f>
        <v>0.81</v>
      </c>
      <c r="B23">
        <f>44.0502346</f>
        <v>44.050234600000003</v>
      </c>
      <c r="C23">
        <f>42.39595516</f>
        <v>42.39595516</v>
      </c>
      <c r="D23">
        <f>33.91452257</f>
        <v>33.914522570000003</v>
      </c>
      <c r="E23">
        <f>76.31047774</f>
        <v>76.310477739999996</v>
      </c>
      <c r="F23">
        <f>42.91696598</f>
        <v>42.916965980000001</v>
      </c>
      <c r="G23">
        <f>41.30524575</f>
        <v>41.305245749999997</v>
      </c>
      <c r="H23">
        <f>9.733979934</f>
        <v>9.7339799340000006</v>
      </c>
      <c r="I23">
        <f>51.03922569</f>
        <v>51.039225690000002</v>
      </c>
      <c r="J23">
        <f>102.22599</f>
        <v>102.22599</v>
      </c>
      <c r="K23">
        <f>7.4032167</f>
        <v>7.4032166999999998</v>
      </c>
      <c r="L23">
        <f>4139.278</f>
        <v>4139.2780000000002</v>
      </c>
    </row>
    <row r="24" spans="1:12" x14ac:dyDescent="0.25">
      <c r="A24">
        <f>0.82</f>
        <v>0.82</v>
      </c>
      <c r="B24">
        <f>44.59406465</f>
        <v>44.59406465</v>
      </c>
      <c r="C24">
        <f>42.97933955</f>
        <v>42.979339549999999</v>
      </c>
      <c r="D24">
        <f>33.77822946</f>
        <v>33.778229459999999</v>
      </c>
      <c r="E24">
        <f>76.75756901</f>
        <v>76.757569009999997</v>
      </c>
      <c r="F24">
        <f>43.44680506</f>
        <v>43.446805060000003</v>
      </c>
      <c r="G24">
        <f>41.87362156</f>
        <v>41.873621559999997</v>
      </c>
      <c r="H24">
        <f>9.757715577</f>
        <v>9.7577155770000008</v>
      </c>
      <c r="I24">
        <f>51.63133714</f>
        <v>51.631337139999999</v>
      </c>
      <c r="J24">
        <f>97.293376</f>
        <v>97.293375999999995</v>
      </c>
      <c r="K24">
        <f>7.5854209</f>
        <v>7.5854208999999999</v>
      </c>
      <c r="L24">
        <f>3891.5059</f>
        <v>3891.5059000000001</v>
      </c>
    </row>
    <row r="25" spans="1:12" x14ac:dyDescent="0.25">
      <c r="A25">
        <f>0.83</f>
        <v>0.83</v>
      </c>
      <c r="B25">
        <f>45.13789471</f>
        <v>45.137894709999998</v>
      </c>
      <c r="C25">
        <f>43.56311459</f>
        <v>43.563114589999998</v>
      </c>
      <c r="D25">
        <f>33.64059501</f>
        <v>33.640595009999998</v>
      </c>
      <c r="E25">
        <f>77.2037096</f>
        <v>77.203709599999996</v>
      </c>
      <c r="F25">
        <f>43.97664415</f>
        <v>43.976644149999998</v>
      </c>
      <c r="G25">
        <f>42.44237798</f>
        <v>42.442377980000003</v>
      </c>
      <c r="H25">
        <f>9.783603517</f>
        <v>9.7836035169999995</v>
      </c>
      <c r="I25">
        <f>52.2259815</f>
        <v>52.225981500000003</v>
      </c>
      <c r="J25">
        <f>92.158914</f>
        <v>92.158913999999996</v>
      </c>
      <c r="K25">
        <f>7.7787585</f>
        <v>7.7787585000000004</v>
      </c>
      <c r="L25">
        <f>3641.7282</f>
        <v>3641.7282</v>
      </c>
    </row>
    <row r="26" spans="1:12" x14ac:dyDescent="0.25">
      <c r="A26">
        <f>0.84</f>
        <v>0.84</v>
      </c>
      <c r="B26">
        <f>45.68172477</f>
        <v>45.681724770000002</v>
      </c>
      <c r="C26">
        <f>44.14737642</f>
        <v>44.147376420000001</v>
      </c>
      <c r="D26">
        <f>33.5012885</f>
        <v>33.501288500000001</v>
      </c>
      <c r="E26">
        <f>77.64866492</f>
        <v>77.648664920000002</v>
      </c>
      <c r="F26">
        <f>44.50648324</f>
        <v>44.506483240000001</v>
      </c>
      <c r="G26">
        <f>43.01160866</f>
        <v>43.01160866</v>
      </c>
      <c r="H26">
        <f>9.811897559</f>
        <v>9.8118975590000002</v>
      </c>
      <c r="I26">
        <f>52.82350622</f>
        <v>52.823506219999999</v>
      </c>
      <c r="J26">
        <f>86.813439</f>
        <v>86.813439000000002</v>
      </c>
      <c r="K26">
        <f>7.9847545</f>
        <v>7.9847545000000002</v>
      </c>
      <c r="L26">
        <f>3389.6585</f>
        <v>3389.6585</v>
      </c>
    </row>
    <row r="27" spans="1:12" x14ac:dyDescent="0.25">
      <c r="A27">
        <f>0.85</f>
        <v>0.85</v>
      </c>
      <c r="B27">
        <f>46.22555482</f>
        <v>46.225554819999999</v>
      </c>
      <c r="C27">
        <f>44.73226667</f>
        <v>44.732266670000001</v>
      </c>
      <c r="D27">
        <f>33.35982261</f>
        <v>33.359822610000002</v>
      </c>
      <c r="E27">
        <f>78.09208928</f>
        <v>78.092089279999996</v>
      </c>
      <c r="F27">
        <f>45.03632232</f>
        <v>45.036322319999996</v>
      </c>
      <c r="G27">
        <f>43.58145159</f>
        <v>43.58145159</v>
      </c>
      <c r="H27">
        <f>9.842929294</f>
        <v>9.8429292939999993</v>
      </c>
      <c r="I27">
        <f>53.42438089</f>
        <v>53.424380890000002</v>
      </c>
      <c r="J27">
        <f>81.230854</f>
        <v>81.230853999999994</v>
      </c>
      <c r="K27">
        <f>8.2054268</f>
        <v>8.2054267999999997</v>
      </c>
      <c r="L27">
        <f>3134.3707</f>
        <v>3134.3706999999999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zoomScaleNormal="100" workbookViewId="0">
      <selection activeCell="H9" sqref="H9"/>
    </sheetView>
  </sheetViews>
  <sheetFormatPr defaultRowHeight="15" x14ac:dyDescent="0.25"/>
  <sheetData>
    <row r="1" spans="1:1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25">
      <c r="A2">
        <f>0.6</f>
        <v>0.6</v>
      </c>
      <c r="B2">
        <f>33.0893781</f>
        <v>33.089378099999998</v>
      </c>
      <c r="C2">
        <f>30.6023773</f>
        <v>30.602377300000001</v>
      </c>
      <c r="D2">
        <f>35.75876651</f>
        <v>35.758766510000001</v>
      </c>
      <c r="E2">
        <f>66.36114381</f>
        <v>66.361143810000002</v>
      </c>
      <c r="F2">
        <f>32.23809651</f>
        <v>32.238096509999998</v>
      </c>
      <c r="G2">
        <f>29.81507812</f>
        <v>29.815078119999999</v>
      </c>
      <c r="H2">
        <f>9.182216668</f>
        <v>9.1822166680000006</v>
      </c>
      <c r="I2">
        <f>38.99729478</f>
        <v>38.997294779999997</v>
      </c>
      <c r="J2">
        <f>166.99599</f>
        <v>166.99599000000001</v>
      </c>
      <c r="K2">
        <f>4.9860779</f>
        <v>4.9860778999999997</v>
      </c>
      <c r="L2">
        <f>9128.5766</f>
        <v>9128.5766000000003</v>
      </c>
    </row>
    <row r="3" spans="1:12" x14ac:dyDescent="0.25">
      <c r="A3">
        <f>0.61</f>
        <v>0.61</v>
      </c>
      <c r="B3">
        <f>33.64086774</f>
        <v>33.640867739999997</v>
      </c>
      <c r="C3">
        <f>31.19177349</f>
        <v>31.191773489999999</v>
      </c>
      <c r="D3">
        <f>35.62810073</f>
        <v>35.62810073</v>
      </c>
      <c r="E3">
        <f>66.81987422</f>
        <v>66.819874220000003</v>
      </c>
      <c r="F3">
        <f>32.77539812</f>
        <v>32.775398119999998</v>
      </c>
      <c r="G3">
        <f>30.38931107</f>
        <v>30.389311070000002</v>
      </c>
      <c r="H3">
        <f>9.181591292</f>
        <v>9.1815912920000002</v>
      </c>
      <c r="I3">
        <f>39.57090236</f>
        <v>39.570902359999998</v>
      </c>
      <c r="J3">
        <f>165.4041</f>
        <v>165.4041</v>
      </c>
      <c r="K3">
        <f>5.0634908</f>
        <v>5.0634908000000003</v>
      </c>
      <c r="L3">
        <f>8893.3361</f>
        <v>8893.3361000000004</v>
      </c>
    </row>
    <row r="4" spans="1:12" x14ac:dyDescent="0.25">
      <c r="A4">
        <f>0.62</f>
        <v>0.62</v>
      </c>
      <c r="B4">
        <f>34.19235737</f>
        <v>34.192357370000003</v>
      </c>
      <c r="C4">
        <f>31.78119794</f>
        <v>31.781197939999998</v>
      </c>
      <c r="D4">
        <f>35.49733879</f>
        <v>35.497338790000001</v>
      </c>
      <c r="E4">
        <f>67.27853673</f>
        <v>67.278536729999999</v>
      </c>
      <c r="F4">
        <f>33.31269973</f>
        <v>33.312699729999999</v>
      </c>
      <c r="G4">
        <f>30.96357155</f>
        <v>30.963571550000001</v>
      </c>
      <c r="H4">
        <f>9.181518413</f>
        <v>9.1815184129999992</v>
      </c>
      <c r="I4">
        <f>40.14508996</f>
        <v>40.14508996</v>
      </c>
      <c r="J4">
        <f>163.66513</f>
        <v>163.66513</v>
      </c>
      <c r="K4">
        <f>5.1434059</f>
        <v>5.1434059000000003</v>
      </c>
      <c r="L4">
        <f>8657.9037</f>
        <v>8657.9037000000008</v>
      </c>
    </row>
    <row r="5" spans="1:12" x14ac:dyDescent="0.25">
      <c r="A5">
        <f>0.63</f>
        <v>0.63</v>
      </c>
      <c r="B5">
        <f>34.74384701</f>
        <v>34.743847010000003</v>
      </c>
      <c r="C5">
        <f>32.3706531</f>
        <v>32.370653099999998</v>
      </c>
      <c r="D5">
        <f>35.36647231</f>
        <v>35.366472309999999</v>
      </c>
      <c r="E5">
        <f>67.73712541</f>
        <v>67.737125410000004</v>
      </c>
      <c r="F5">
        <f>33.85000134</f>
        <v>33.850001339999999</v>
      </c>
      <c r="G5">
        <f>31.53786195</f>
        <v>31.53786195</v>
      </c>
      <c r="H5">
        <f>9.182022877</f>
        <v>9.1820228769999996</v>
      </c>
      <c r="I5">
        <f>40.71988483</f>
        <v>40.719884829999998</v>
      </c>
      <c r="J5">
        <f>161.77863</f>
        <v>161.77862999999999</v>
      </c>
      <c r="K5">
        <f>5.2259518</f>
        <v>5.2259517999999998</v>
      </c>
      <c r="L5">
        <f>8422.2644</f>
        <v>8422.2644</v>
      </c>
    </row>
    <row r="6" spans="1:12" x14ac:dyDescent="0.25">
      <c r="A6">
        <f>0.64</f>
        <v>0.64</v>
      </c>
      <c r="B6">
        <f>35.29533664</f>
        <v>35.295336640000002</v>
      </c>
      <c r="C6">
        <f>32.9601417</f>
        <v>32.960141700000001</v>
      </c>
      <c r="D6">
        <f>35.23549193</f>
        <v>35.235491930000002</v>
      </c>
      <c r="E6">
        <f>68.19563362</f>
        <v>68.195633619999995</v>
      </c>
      <c r="F6">
        <f>34.38730294</f>
        <v>34.387302939999998</v>
      </c>
      <c r="G6">
        <f>32.11218494</f>
        <v>32.112184939999999</v>
      </c>
      <c r="H6">
        <f>9.183131165</f>
        <v>9.1831311650000007</v>
      </c>
      <c r="I6">
        <f>41.2953161</f>
        <v>41.295316100000001</v>
      </c>
      <c r="J6">
        <f>159.74407</f>
        <v>159.74406999999999</v>
      </c>
      <c r="K6">
        <f>5.3112668</f>
        <v>5.3112668000000003</v>
      </c>
      <c r="L6">
        <f>8186.4015</f>
        <v>8186.4014999999999</v>
      </c>
    </row>
    <row r="7" spans="1:12" x14ac:dyDescent="0.25">
      <c r="A7">
        <f>0.65</f>
        <v>0.65</v>
      </c>
      <c r="B7">
        <f>35.84682628</f>
        <v>35.846826280000002</v>
      </c>
      <c r="C7">
        <f>33.54966682</f>
        <v>33.549666819999999</v>
      </c>
      <c r="D7">
        <f>35.1043871</f>
        <v>35.104387099999997</v>
      </c>
      <c r="E7">
        <f>68.65405392</f>
        <v>68.654053919999996</v>
      </c>
      <c r="F7">
        <f>34.92460455</f>
        <v>34.924604549999998</v>
      </c>
      <c r="G7">
        <f>32.6865435</f>
        <v>32.686543499999999</v>
      </c>
      <c r="H7">
        <f>9.184871554</f>
        <v>9.1848715540000008</v>
      </c>
      <c r="I7">
        <f>41.87141506</f>
        <v>41.871415059999997</v>
      </c>
      <c r="J7">
        <f>157.56088</f>
        <v>157.56088</v>
      </c>
      <c r="K7">
        <f>5.3994997</f>
        <v>5.3994996999999998</v>
      </c>
      <c r="L7">
        <f>7950.2963</f>
        <v>7950.2963</v>
      </c>
    </row>
    <row r="8" spans="1:12" x14ac:dyDescent="0.25">
      <c r="A8">
        <f>0.66</f>
        <v>0.66</v>
      </c>
      <c r="B8">
        <f>36.39831591</f>
        <v>36.398315910000001</v>
      </c>
      <c r="C8">
        <f>34.13923194</f>
        <v>34.139231940000002</v>
      </c>
      <c r="D8">
        <f>34.97314592</f>
        <v>34.97314592</v>
      </c>
      <c r="E8">
        <f>69.11237786</f>
        <v>69.112377859999995</v>
      </c>
      <c r="F8">
        <f>35.46190616</f>
        <v>35.461906159999998</v>
      </c>
      <c r="G8">
        <f>33.26094104</f>
        <v>33.260941039999999</v>
      </c>
      <c r="H8">
        <f>9.187274285</f>
        <v>9.1872742850000009</v>
      </c>
      <c r="I8">
        <f>42.44821533</f>
        <v>42.448215329999996</v>
      </c>
      <c r="J8">
        <f>155.22843</f>
        <v>155.22843</v>
      </c>
      <c r="K8">
        <f>5.4908112</f>
        <v>5.4908111999999996</v>
      </c>
      <c r="L8">
        <f>7713.9282</f>
        <v>7713.9282000000003</v>
      </c>
    </row>
    <row r="9" spans="1:12" x14ac:dyDescent="0.25">
      <c r="A9">
        <f>0.67</f>
        <v>0.67</v>
      </c>
      <c r="B9">
        <f>36.94980555</f>
        <v>36.949805550000001</v>
      </c>
      <c r="C9">
        <f>34.72884101</f>
        <v>34.728841009999996</v>
      </c>
      <c r="D9">
        <f>34.84175489</f>
        <v>34.841754889999997</v>
      </c>
      <c r="E9">
        <f>69.5705959</f>
        <v>69.570595900000001</v>
      </c>
      <c r="F9">
        <f>35.99920777</f>
        <v>35.999207769999998</v>
      </c>
      <c r="G9">
        <f>33.83538139</f>
        <v>33.835381390000002</v>
      </c>
      <c r="H9">
        <f>9.190371774</f>
        <v>9.1903717740000008</v>
      </c>
      <c r="I9">
        <f>43.02575316</f>
        <v>43.025753160000001</v>
      </c>
      <c r="J9">
        <f>152.74599</f>
        <v>152.74599000000001</v>
      </c>
      <c r="K9">
        <f>5.5853751</f>
        <v>5.5853751000000003</v>
      </c>
      <c r="L9">
        <f>7477.2738</f>
        <v>7477.2737999999999</v>
      </c>
    </row>
    <row r="10" spans="1:12" x14ac:dyDescent="0.25">
      <c r="A10">
        <f>0.68</f>
        <v>0.68</v>
      </c>
      <c r="B10">
        <f>37.50129518</f>
        <v>37.50129518</v>
      </c>
      <c r="C10">
        <f>35.31849849</f>
        <v>35.318498490000003</v>
      </c>
      <c r="D10">
        <f>34.71019866</f>
        <v>34.710198660000003</v>
      </c>
      <c r="E10">
        <f>70.02869714</f>
        <v>70.028697140000006</v>
      </c>
      <c r="F10">
        <f>36.53650938</f>
        <v>36.536509379999998</v>
      </c>
      <c r="G10">
        <f>34.40986891</f>
        <v>34.40986891</v>
      </c>
      <c r="H10">
        <f>9.194198842</f>
        <v>9.1941988420000005</v>
      </c>
      <c r="I10">
        <f>43.60406775</f>
        <v>43.604067749999999</v>
      </c>
      <c r="J10">
        <f>150.11276</f>
        <v>150.11276000000001</v>
      </c>
      <c r="K10">
        <f>5.6833797</f>
        <v>5.6833796999999997</v>
      </c>
      <c r="L10">
        <f>7240.3068</f>
        <v>7240.3068000000003</v>
      </c>
    </row>
    <row r="11" spans="1:12" x14ac:dyDescent="0.25">
      <c r="A11">
        <f>0.69</f>
        <v>0.69</v>
      </c>
      <c r="B11">
        <f>38.05278482</f>
        <v>38.052784819999999</v>
      </c>
      <c r="C11">
        <f>35.90820952</f>
        <v>35.90820952</v>
      </c>
      <c r="D11">
        <f>34.57845964</f>
        <v>34.578459639999998</v>
      </c>
      <c r="E11">
        <f>70.48666916</f>
        <v>70.486669160000005</v>
      </c>
      <c r="F11">
        <f>37.07381099</f>
        <v>37.073810989999998</v>
      </c>
      <c r="G11">
        <f>34.9844086</f>
        <v>34.984408600000002</v>
      </c>
      <c r="H11">
        <f>9.198792983</f>
        <v>9.1987929830000006</v>
      </c>
      <c r="I11">
        <f>44.18320159</f>
        <v>44.183201590000003</v>
      </c>
      <c r="J11">
        <f>147.32783</f>
        <v>147.32783000000001</v>
      </c>
      <c r="K11">
        <f>5.7850301</f>
        <v>5.7850301000000002</v>
      </c>
      <c r="L11">
        <f>7002.9975</f>
        <v>7002.9975000000004</v>
      </c>
    </row>
    <row r="12" spans="1:12" x14ac:dyDescent="0.25">
      <c r="A12">
        <f>0.7</f>
        <v>0.7</v>
      </c>
      <c r="B12">
        <f>38.60427445</f>
        <v>38.604274449999998</v>
      </c>
      <c r="C12">
        <f>36.49797999</f>
        <v>36.497979989999997</v>
      </c>
      <c r="D12">
        <f>34.44651765</f>
        <v>34.446517649999997</v>
      </c>
      <c r="E12">
        <f>70.94449764</f>
        <v>70.944497639999994</v>
      </c>
      <c r="F12">
        <f>37.61111259</f>
        <v>37.611112589999998</v>
      </c>
      <c r="G12">
        <f>35.5590062</f>
        <v>35.559006199999999</v>
      </c>
      <c r="H12">
        <f>9.204194684</f>
        <v>9.2041946840000008</v>
      </c>
      <c r="I12">
        <f>44.76320089</f>
        <v>44.76320089</v>
      </c>
      <c r="J12">
        <f>144.39016</f>
        <v>144.39016000000001</v>
      </c>
      <c r="K12">
        <f>5.8905496</f>
        <v>5.8905495999999999</v>
      </c>
      <c r="L12">
        <f>6765.3122</f>
        <v>6765.3122000000003</v>
      </c>
    </row>
    <row r="13" spans="1:12" x14ac:dyDescent="0.25">
      <c r="A13">
        <f>0.71</f>
        <v>0.71</v>
      </c>
      <c r="B13">
        <f>39.15576409</f>
        <v>39.155764089999998</v>
      </c>
      <c r="C13">
        <f>37.0878167</f>
        <v>37.087816699999998</v>
      </c>
      <c r="D13">
        <f>34.31434934</f>
        <v>34.31434934</v>
      </c>
      <c r="E13">
        <f>71.40216603</f>
        <v>71.402166030000004</v>
      </c>
      <c r="F13">
        <f>38.1484142</f>
        <v>38.148414199999998</v>
      </c>
      <c r="G13">
        <f>36.13366834</f>
        <v>36.13366834</v>
      </c>
      <c r="H13">
        <f>9.210447795</f>
        <v>9.2104477950000003</v>
      </c>
      <c r="I13">
        <f>45.34411614</f>
        <v>45.344116139999997</v>
      </c>
      <c r="J13">
        <f>141.29859</f>
        <v>141.29858999999999</v>
      </c>
      <c r="K13">
        <f>6.0001829</f>
        <v>6.0001829000000004</v>
      </c>
      <c r="L13">
        <f>6527.2123</f>
        <v>6527.2123000000001</v>
      </c>
    </row>
    <row r="14" spans="1:12" x14ac:dyDescent="0.25">
      <c r="A14">
        <f>0.72</f>
        <v>0.72</v>
      </c>
      <c r="B14">
        <f>39.70725372</f>
        <v>39.707253719999997</v>
      </c>
      <c r="C14">
        <f>37.67772756</f>
        <v>37.677727560000001</v>
      </c>
      <c r="D14">
        <f>34.18192756</f>
        <v>34.181927559999998</v>
      </c>
      <c r="E14">
        <f>71.85965512</f>
        <v>71.859655119999999</v>
      </c>
      <c r="F14">
        <f>38.68571581</f>
        <v>38.685715809999998</v>
      </c>
      <c r="G14">
        <f>36.70840273</f>
        <v>36.708402730000003</v>
      </c>
      <c r="H14">
        <f>9.217599975</f>
        <v>9.2175999750000006</v>
      </c>
      <c r="I14">
        <f>45.9260027</f>
        <v>45.926002699999998</v>
      </c>
      <c r="J14">
        <f>138.05174</f>
        <v>138.05174</v>
      </c>
      <c r="K14">
        <f>6.1141988</f>
        <v>6.1141987999999996</v>
      </c>
      <c r="L14">
        <f>6288.6536</f>
        <v>6288.6535999999996</v>
      </c>
    </row>
    <row r="15" spans="1:12" x14ac:dyDescent="0.25">
      <c r="A15">
        <f>0.73</f>
        <v>0.73</v>
      </c>
      <c r="B15">
        <f>40.25874336</f>
        <v>40.258743359999997</v>
      </c>
      <c r="C15">
        <f>38.26772183</f>
        <v>38.267721829999999</v>
      </c>
      <c r="D15">
        <f>34.04922053</f>
        <v>34.049220529999999</v>
      </c>
      <c r="E15">
        <f>72.31694237</f>
        <v>72.316942370000007</v>
      </c>
      <c r="F15">
        <f>39.22301742</f>
        <v>39.223017419999998</v>
      </c>
      <c r="G15">
        <f>37.28321838</f>
        <v>37.283218380000001</v>
      </c>
      <c r="H15">
        <f>9.225703215</f>
        <v>9.2257032149999993</v>
      </c>
      <c r="I15">
        <f>46.50892159</f>
        <v>46.50892159</v>
      </c>
      <c r="J15">
        <f>134.64808</f>
        <v>134.64807999999999</v>
      </c>
      <c r="K15">
        <f>6.2328937</f>
        <v>6.2328937</v>
      </c>
      <c r="L15">
        <f>6049.5849</f>
        <v>6049.5848999999998</v>
      </c>
    </row>
    <row r="16" spans="1:12" x14ac:dyDescent="0.25">
      <c r="A16">
        <f>0.74</f>
        <v>0.74</v>
      </c>
      <c r="B16">
        <f>40.81023299</f>
        <v>40.810232990000003</v>
      </c>
      <c r="C16">
        <f>38.85781041</f>
        <v>38.857810409999999</v>
      </c>
      <c r="D16">
        <f>33.9161909</f>
        <v>33.916190899999997</v>
      </c>
      <c r="E16">
        <f>72.77400131</f>
        <v>72.774001310000003</v>
      </c>
      <c r="F16">
        <f>39.76031903</f>
        <v>39.760319029999998</v>
      </c>
      <c r="G16">
        <f>37.8581259</f>
        <v>37.858125899999997</v>
      </c>
      <c r="H16">
        <f>9.234814529</f>
        <v>9.2348145289999994</v>
      </c>
      <c r="I16">
        <f>47.09294043</f>
        <v>47.092940429999999</v>
      </c>
      <c r="J16">
        <f>131.08579</f>
        <v>131.08579</v>
      </c>
      <c r="K16">
        <f>6.3565966</f>
        <v>6.3565965999999996</v>
      </c>
      <c r="L16">
        <f>5809.947</f>
        <v>5809.9470000000001</v>
      </c>
    </row>
    <row r="17" spans="1:12" x14ac:dyDescent="0.25">
      <c r="A17">
        <f>0.75</f>
        <v>0.75</v>
      </c>
      <c r="B17">
        <f>41.36172263</f>
        <v>41.361722630000003</v>
      </c>
      <c r="C17">
        <f>39.44800623</f>
        <v>39.448006229999997</v>
      </c>
      <c r="D17">
        <f>33.7827942</f>
        <v>33.782794199999998</v>
      </c>
      <c r="E17">
        <f>73.23080043</f>
        <v>73.230800430000002</v>
      </c>
      <c r="F17">
        <f>40.29762064</f>
        <v>40.297620639999998</v>
      </c>
      <c r="G17">
        <f>38.43313791</f>
        <v>38.433137909999999</v>
      </c>
      <c r="H17">
        <f>9.244996702</f>
        <v>9.2449967019999999</v>
      </c>
      <c r="I17">
        <f>47.67813461</f>
        <v>47.678134610000001</v>
      </c>
      <c r="J17">
        <f>127.36276</f>
        <v>127.36275999999999</v>
      </c>
      <c r="K17">
        <f>6.485674</f>
        <v>6.4856740000000004</v>
      </c>
      <c r="L17">
        <f>5569.6702</f>
        <v>5569.6701999999996</v>
      </c>
    </row>
    <row r="18" spans="1:12" x14ac:dyDescent="0.25">
      <c r="A18">
        <f>0.76</f>
        <v>0.76</v>
      </c>
      <c r="B18">
        <f>41.91321226</f>
        <v>41.913212260000002</v>
      </c>
      <c r="C18">
        <f>40.03832478</f>
        <v>40.038324780000003</v>
      </c>
      <c r="D18">
        <f>33.64897724</f>
        <v>33.648977240000001</v>
      </c>
      <c r="E18">
        <f>73.68730202</f>
        <v>73.687302020000004</v>
      </c>
      <c r="F18">
        <f>40.83492225</f>
        <v>40.834922249999998</v>
      </c>
      <c r="G18">
        <f>39.00826949</f>
        <v>39.008269490000004</v>
      </c>
      <c r="H18">
        <f>9.256319336</f>
        <v>9.2563193360000007</v>
      </c>
      <c r="I18">
        <f>48.26458883</f>
        <v>48.264588830000001</v>
      </c>
      <c r="J18">
        <f>123.47651</f>
        <v>123.47651</v>
      </c>
      <c r="K18">
        <f>6.6205372</f>
        <v>6.6205372000000002</v>
      </c>
      <c r="L18">
        <f>5328.6726</f>
        <v>5328.6725999999999</v>
      </c>
    </row>
    <row r="19" spans="1:12" x14ac:dyDescent="0.25">
      <c r="A19">
        <f>0.77</f>
        <v>0.77</v>
      </c>
      <c r="B19">
        <f>42.4647019</f>
        <v>42.464701900000001</v>
      </c>
      <c r="C19">
        <f>40.62878478</f>
        <v>40.628784779999997</v>
      </c>
      <c r="D19">
        <f>33.51467571</f>
        <v>33.514675709999999</v>
      </c>
      <c r="E19">
        <f>74.14346049</f>
        <v>74.143460489999995</v>
      </c>
      <c r="F19">
        <f>41.37222385</f>
        <v>41.372223849999997</v>
      </c>
      <c r="G19">
        <f>39.58353889</f>
        <v>39.58353889</v>
      </c>
      <c r="H19">
        <f>9.268860122</f>
        <v>9.2688601219999995</v>
      </c>
      <c r="I19">
        <f>48.85239901</f>
        <v>48.852399009999999</v>
      </c>
      <c r="J19">
        <f>119.42409</f>
        <v>119.42409000000001</v>
      </c>
      <c r="K19">
        <f>6.7616514</f>
        <v>6.7616513999999999</v>
      </c>
      <c r="L19">
        <f>5086.8567</f>
        <v>5086.8567000000003</v>
      </c>
    </row>
    <row r="20" spans="1:12" x14ac:dyDescent="0.25">
      <c r="A20">
        <f>0.78</f>
        <v>0.78</v>
      </c>
      <c r="B20">
        <f>43.01619153</f>
        <v>43.01619153</v>
      </c>
      <c r="C20">
        <f>41.2194091</f>
        <v>41.2194091</v>
      </c>
      <c r="D20">
        <f>33.37981104</f>
        <v>33.37981104</v>
      </c>
      <c r="E20">
        <f>74.59922014</f>
        <v>74.59922014</v>
      </c>
      <c r="F20">
        <f>41.90952546</f>
        <v>41.909525459999998</v>
      </c>
      <c r="G20">
        <f>40.15896837</f>
        <v>40.158968369999997</v>
      </c>
      <c r="H20">
        <f>9.282706509</f>
        <v>9.2827065090000005</v>
      </c>
      <c r="I20">
        <f>49.44167488</f>
        <v>49.441674880000001</v>
      </c>
      <c r="J20">
        <f>115.20197</f>
        <v>115.20197</v>
      </c>
      <c r="K20">
        <f>6.9095466</f>
        <v>6.9095465999999996</v>
      </c>
      <c r="L20">
        <f>4844.1055</f>
        <v>4844.1054999999997</v>
      </c>
    </row>
    <row r="21" spans="1:12" x14ac:dyDescent="0.25">
      <c r="A21">
        <f>0.79</f>
        <v>0.79</v>
      </c>
      <c r="B21">
        <f>43.56768117</f>
        <v>43.56768117</v>
      </c>
      <c r="C21">
        <f>41.81022598</f>
        <v>41.810225979999998</v>
      </c>
      <c r="D21">
        <f>33.2442861</f>
        <v>33.244286099999997</v>
      </c>
      <c r="E21">
        <f>75.05451208</f>
        <v>75.054512079999995</v>
      </c>
      <c r="F21">
        <f>42.44682707</f>
        <v>42.446827069999998</v>
      </c>
      <c r="G21">
        <f>40.73458546</f>
        <v>40.734585459999998</v>
      </c>
      <c r="H21">
        <f>9.297957911</f>
        <v>9.2979579109999992</v>
      </c>
      <c r="I21">
        <f>50.03254337</f>
        <v>50.032543369999999</v>
      </c>
      <c r="J21">
        <f>110.80587</f>
        <v>110.80587</v>
      </c>
      <c r="K21">
        <f>7.0648335</f>
        <v>7.0648334999999998</v>
      </c>
      <c r="L21">
        <f>4600.2767</f>
        <v>4600.2767000000003</v>
      </c>
    </row>
    <row r="22" spans="1:12" x14ac:dyDescent="0.25">
      <c r="A22">
        <f>0.8</f>
        <v>0.8</v>
      </c>
      <c r="B22">
        <f>44.1191708</f>
        <v>44.119170799999999</v>
      </c>
      <c r="C22">
        <f>42.40127084</f>
        <v>42.401270840000002</v>
      </c>
      <c r="D22">
        <f>33.10797917</f>
        <v>33.10797917</v>
      </c>
      <c r="E22">
        <f>75.50925001</f>
        <v>75.509250010000002</v>
      </c>
      <c r="F22">
        <f>42.98412868</f>
        <v>42.984128679999998</v>
      </c>
      <c r="G22">
        <f>41.31042467</f>
        <v>41.310424670000003</v>
      </c>
      <c r="H22">
        <f>9.314728703</f>
        <v>9.3147287030000001</v>
      </c>
      <c r="I22">
        <f>50.62515337</f>
        <v>50.62515337</v>
      </c>
      <c r="J22">
        <f>106.23054</f>
        <v>106.23054</v>
      </c>
      <c r="K22">
        <f>7.2282243</f>
        <v>7.2282242999999999</v>
      </c>
      <c r="L22">
        <f>4355.1957</f>
        <v>4355.1957000000002</v>
      </c>
    </row>
    <row r="23" spans="1:12" x14ac:dyDescent="0.25">
      <c r="A23">
        <f>0.81</f>
        <v>0.81</v>
      </c>
      <c r="B23">
        <f>44.67066044</f>
        <v>44.670660439999999</v>
      </c>
      <c r="C23">
        <f>42.99258872</f>
        <v>42.992588720000001</v>
      </c>
      <c r="D23">
        <f>32.97073534</f>
        <v>32.970735339999997</v>
      </c>
      <c r="E23">
        <f>75.96332405</f>
        <v>75.963324049999997</v>
      </c>
      <c r="F23">
        <f>43.52143029</f>
        <v>43.521430289999998</v>
      </c>
      <c r="G23">
        <f>41.88652987</f>
        <v>41.886529869999997</v>
      </c>
      <c r="H23">
        <f>9.333152383</f>
        <v>9.3331523829999998</v>
      </c>
      <c r="I23">
        <f>51.21968226</f>
        <v>51.219682259999999</v>
      </c>
      <c r="J23">
        <f>101.46945</f>
        <v>101.46944999999999</v>
      </c>
      <c r="K23">
        <f>7.4005608</f>
        <v>7.4005608000000001</v>
      </c>
      <c r="L23">
        <f>4108.6445</f>
        <v>4108.6445000000003</v>
      </c>
    </row>
    <row r="24" spans="1:12" x14ac:dyDescent="0.25">
      <c r="A24">
        <f>0.82</f>
        <v>0.82</v>
      </c>
      <c r="B24">
        <f>45.22215007</f>
        <v>45.222150069999998</v>
      </c>
      <c r="C24">
        <f>43.58423798</f>
        <v>43.584237979999997</v>
      </c>
      <c r="D24">
        <f>32.83235387</f>
        <v>32.832353869999999</v>
      </c>
      <c r="E24">
        <f>76.41659185</f>
        <v>76.416591850000003</v>
      </c>
      <c r="F24">
        <f>44.0587319</f>
        <v>44.058731899999998</v>
      </c>
      <c r="G24">
        <f>42.46295794</f>
        <v>42.462957940000003</v>
      </c>
      <c r="H24">
        <f>9.353387545</f>
        <v>9.3533875450000004</v>
      </c>
      <c r="I24">
        <f>51.81634548</f>
        <v>51.816345480000003</v>
      </c>
      <c r="J24">
        <f>96.514356</f>
        <v>96.514356000000006</v>
      </c>
      <c r="K24">
        <f>7.5828569</f>
        <v>7.5828569000000003</v>
      </c>
      <c r="L24">
        <f>3860.3469</f>
        <v>3860.3469</v>
      </c>
    </row>
    <row r="25" spans="1:12" x14ac:dyDescent="0.25">
      <c r="A25">
        <f>0.83</f>
        <v>0.83</v>
      </c>
      <c r="B25">
        <f>45.77363971</f>
        <v>45.773639709999998</v>
      </c>
      <c r="C25">
        <f>44.17629586</f>
        <v>44.176295860000003</v>
      </c>
      <c r="D25">
        <f>32.69256912</f>
        <v>32.692569120000002</v>
      </c>
      <c r="E25">
        <f>76.86886498</f>
        <v>76.868864979999998</v>
      </c>
      <c r="F25">
        <f>44.59603351</f>
        <v>44.596033509999998</v>
      </c>
      <c r="G25">
        <f>43.03978409</f>
        <v>43.039784089999998</v>
      </c>
      <c r="H25">
        <f>9.375626741</f>
        <v>9.3756267409999996</v>
      </c>
      <c r="I25">
        <f>52.41541083</f>
        <v>52.415410829999999</v>
      </c>
      <c r="J25">
        <f>91.354625</f>
        <v>91.354624999999999</v>
      </c>
      <c r="K25">
        <f>7.7763588</f>
        <v>7.7763587999999997</v>
      </c>
      <c r="L25">
        <f>3609.9461</f>
        <v>3609.9461000000001</v>
      </c>
    </row>
    <row r="26" spans="1:12" x14ac:dyDescent="0.25">
      <c r="A26">
        <f>0.84</f>
        <v>0.84</v>
      </c>
      <c r="B26">
        <f>46.32512934</f>
        <v>46.325129339999997</v>
      </c>
      <c r="C26">
        <f>44.76886473</f>
        <v>44.768864729999997</v>
      </c>
      <c r="D26">
        <f>32.5510288</f>
        <v>32.551028799999997</v>
      </c>
      <c r="E26">
        <f>77.31989353</f>
        <v>77.319893530000002</v>
      </c>
      <c r="F26">
        <f>45.13333511</f>
        <v>45.133335109999997</v>
      </c>
      <c r="G26">
        <f>43.61710811</f>
        <v>43.617108109999997</v>
      </c>
      <c r="H26">
        <f>9.400108672</f>
        <v>9.400108672</v>
      </c>
      <c r="I26">
        <f>53.01721678</f>
        <v>53.017216779999998</v>
      </c>
      <c r="J26">
        <f>85.980144</f>
        <v>85.980143999999996</v>
      </c>
      <c r="K26">
        <f>7.9826281</f>
        <v>7.9826281000000003</v>
      </c>
      <c r="L26">
        <f>3357.1222</f>
        <v>3357.1221999999998</v>
      </c>
    </row>
    <row r="27" spans="1:12" x14ac:dyDescent="0.25">
      <c r="A27">
        <f>0.85</f>
        <v>0.85</v>
      </c>
      <c r="B27">
        <f>46.87661898</f>
        <v>46.876618980000003</v>
      </c>
      <c r="C27">
        <f>45.36209593</f>
        <v>45.362095930000002</v>
      </c>
      <c r="D27">
        <f>32.40721216</f>
        <v>32.40721216</v>
      </c>
      <c r="E27">
        <f>77.76930809</f>
        <v>77.769308089999996</v>
      </c>
      <c r="F27">
        <f>45.67063672</f>
        <v>45.670636719999997</v>
      </c>
      <c r="G27">
        <f>44.19507741</f>
        <v>44.195077410000003</v>
      </c>
      <c r="H27">
        <f>9.427146093</f>
        <v>9.4271460929999993</v>
      </c>
      <c r="I27">
        <f>53.6222235</f>
        <v>53.622223499999997</v>
      </c>
      <c r="J27">
        <f>80.363656</f>
        <v>80.363656000000006</v>
      </c>
      <c r="K27">
        <f>8.2037423</f>
        <v>8.2037423</v>
      </c>
      <c r="L27">
        <f>3100.9091</f>
        <v>3100.9090999999999</v>
      </c>
    </row>
  </sheetData>
  <pageMargins left="0.75" right="0.75" top="1" bottom="1" header="0.5" footer="0.5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A2" sqref="A2:L27"/>
    </sheetView>
  </sheetViews>
  <sheetFormatPr defaultRowHeight="15" x14ac:dyDescent="0.25"/>
  <sheetData>
    <row r="1" spans="1:12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</row>
    <row r="2" spans="1:12" x14ac:dyDescent="0.25">
      <c r="A2">
        <f>0.6</f>
        <v>0.6</v>
      </c>
      <c r="B2">
        <f>33.5489528</f>
        <v>33.548952800000002</v>
      </c>
      <c r="C2">
        <f>31.02666869</f>
        <v>31.026668690000001</v>
      </c>
      <c r="D2">
        <f>34.85461924</f>
        <v>34.854619239999998</v>
      </c>
      <c r="E2">
        <f>65.88128793</f>
        <v>65.881287929999999</v>
      </c>
      <c r="F2">
        <f>32.68584785</f>
        <v>32.685847850000002</v>
      </c>
      <c r="G2">
        <f>30.22845387</f>
        <v>30.228453869999999</v>
      </c>
      <c r="H2">
        <f>8.840339773</f>
        <v>8.8403397730000002</v>
      </c>
      <c r="I2">
        <f>39.06879365</f>
        <v>39.068793650000003</v>
      </c>
      <c r="J2">
        <f>166.50487</f>
        <v>166.50487000000001</v>
      </c>
      <c r="K2">
        <f>4.9843988</f>
        <v>4.9843988000000001</v>
      </c>
      <c r="L2">
        <f>9101.7301</f>
        <v>9101.7301000000007</v>
      </c>
    </row>
    <row r="3" spans="1:12" x14ac:dyDescent="0.25">
      <c r="A3">
        <f>0.61</f>
        <v>0.61</v>
      </c>
      <c r="B3">
        <f>34.10810201</f>
        <v>34.108102010000003</v>
      </c>
      <c r="C3">
        <f>31.62425422</f>
        <v>31.624254220000001</v>
      </c>
      <c r="D3">
        <f>34.72212624</f>
        <v>34.722126240000001</v>
      </c>
      <c r="E3">
        <f>66.34638045</f>
        <v>66.346380449999998</v>
      </c>
      <c r="F3">
        <f>33.23061198</f>
        <v>33.230611979999999</v>
      </c>
      <c r="G3">
        <f>30.81066548</f>
        <v>30.810665480000001</v>
      </c>
      <c r="H3">
        <f>8.837884093</f>
        <v>8.8378840929999996</v>
      </c>
      <c r="I3">
        <f>39.64854957</f>
        <v>39.64854957</v>
      </c>
      <c r="J3">
        <f>164.90337</f>
        <v>164.90337</v>
      </c>
      <c r="K3">
        <f>5.0617659</f>
        <v>5.0617659000000002</v>
      </c>
      <c r="L3">
        <f>8866.4131</f>
        <v>8866.4130999999998</v>
      </c>
    </row>
    <row r="4" spans="1:12" x14ac:dyDescent="0.25">
      <c r="A4">
        <f>0.62</f>
        <v>0.62</v>
      </c>
      <c r="B4">
        <f>34.66725122</f>
        <v>34.667251219999997</v>
      </c>
      <c r="C4">
        <f>32.22186869</f>
        <v>32.221868690000001</v>
      </c>
      <c r="D4">
        <f>34.58953469</f>
        <v>34.589534690000001</v>
      </c>
      <c r="E4">
        <f>66.81140338</f>
        <v>66.811403380000002</v>
      </c>
      <c r="F4">
        <f>33.77537611</f>
        <v>33.775376110000003</v>
      </c>
      <c r="G4">
        <f>31.39290528</f>
        <v>31.392905280000001</v>
      </c>
      <c r="H4">
        <f>8.835938864</f>
        <v>8.8359388639999992</v>
      </c>
      <c r="I4">
        <f>40.22884415</f>
        <v>40.22884415</v>
      </c>
      <c r="J4">
        <f>163.15466</f>
        <v>163.15466000000001</v>
      </c>
      <c r="K4">
        <f>5.1416336</f>
        <v>5.1416335999999996</v>
      </c>
      <c r="L4">
        <f>8630.8995</f>
        <v>8630.8994999999995</v>
      </c>
    </row>
    <row r="5" spans="1:12" x14ac:dyDescent="0.25">
      <c r="A5">
        <f>0.63</f>
        <v>0.63</v>
      </c>
      <c r="B5">
        <f>35.22640044</f>
        <v>35.226400439999999</v>
      </c>
      <c r="C5">
        <f>32.81951462</f>
        <v>32.81951462</v>
      </c>
      <c r="D5">
        <f>34.45683599</f>
        <v>34.456835990000002</v>
      </c>
      <c r="E5">
        <f>67.27635061</f>
        <v>67.276350609999994</v>
      </c>
      <c r="F5">
        <f>34.32014024</f>
        <v>34.320140240000001</v>
      </c>
      <c r="G5">
        <f>31.97517573</f>
        <v>31.97517573</v>
      </c>
      <c r="H5">
        <f>8.834527102</f>
        <v>8.8345271019999991</v>
      </c>
      <c r="I5">
        <f>40.80970284</f>
        <v>40.80970284</v>
      </c>
      <c r="J5">
        <f>161.25826</f>
        <v>161.25826000000001</v>
      </c>
      <c r="K5">
        <f>5.2241307</f>
        <v>5.2241306999999999</v>
      </c>
      <c r="L5">
        <f>8395.1736</f>
        <v>8395.1736000000001</v>
      </c>
    </row>
    <row r="6" spans="1:12" x14ac:dyDescent="0.25">
      <c r="A6">
        <f>0.64</f>
        <v>0.64</v>
      </c>
      <c r="B6">
        <f>35.78554965</f>
        <v>35.78554965</v>
      </c>
      <c r="C6">
        <f>33.41719483</f>
        <v>33.41719483</v>
      </c>
      <c r="D6">
        <f>34.3240205</f>
        <v>34.324020500000003</v>
      </c>
      <c r="E6">
        <f>67.74121533</f>
        <v>67.741215330000003</v>
      </c>
      <c r="F6">
        <f>34.86490437</f>
        <v>34.864904369999998</v>
      </c>
      <c r="G6">
        <f>32.55747958</f>
        <v>32.557479579999999</v>
      </c>
      <c r="H6">
        <f>8.83367334</f>
        <v>8.8336733400000007</v>
      </c>
      <c r="I6">
        <f>41.39115292</f>
        <v>41.391152920000003</v>
      </c>
      <c r="J6">
        <f>159.21363</f>
        <v>159.21362999999999</v>
      </c>
      <c r="K6">
        <f>5.3093953</f>
        <v>5.3093953000000003</v>
      </c>
      <c r="L6">
        <f>8159.2184</f>
        <v>8159.2183999999997</v>
      </c>
    </row>
    <row r="7" spans="1:12" x14ac:dyDescent="0.25">
      <c r="A7">
        <f>0.65</f>
        <v>0.65</v>
      </c>
      <c r="B7">
        <f>36.34469886</f>
        <v>36.344698860000001</v>
      </c>
      <c r="C7">
        <f>34.01491248</f>
        <v>34.01491248</v>
      </c>
      <c r="D7">
        <f>34.19107736</f>
        <v>34.191077360000001</v>
      </c>
      <c r="E7">
        <f>68.20598985</f>
        <v>68.205989849999995</v>
      </c>
      <c r="F7">
        <f>35.4096685</f>
        <v>35.409668500000002</v>
      </c>
      <c r="G7">
        <f>33.13981991</f>
        <v>33.13981991</v>
      </c>
      <c r="H7">
        <f>8.833403771</f>
        <v>8.8334037710000004</v>
      </c>
      <c r="I7">
        <f>41.97322369</f>
        <v>41.973223689999998</v>
      </c>
      <c r="J7">
        <f>157.0202</f>
        <v>157.02019999999999</v>
      </c>
      <c r="K7">
        <f>5.3975764</f>
        <v>5.3975764000000002</v>
      </c>
      <c r="L7">
        <f>7923.0146</f>
        <v>7923.0146000000004</v>
      </c>
    </row>
    <row r="8" spans="1:12" x14ac:dyDescent="0.25">
      <c r="A8">
        <f>0.66</f>
        <v>0.66</v>
      </c>
      <c r="B8">
        <f>36.90384808</f>
        <v>36.903848080000003</v>
      </c>
      <c r="C8">
        <f>34.61267116</f>
        <v>34.612671159999998</v>
      </c>
      <c r="D8">
        <f>34.0579943</f>
        <v>34.057994299999997</v>
      </c>
      <c r="E8">
        <f>68.67066547</f>
        <v>68.670665470000003</v>
      </c>
      <c r="F8">
        <f>35.95443264</f>
        <v>35.95443264</v>
      </c>
      <c r="G8">
        <f>33.72220022</f>
        <v>33.722200219999998</v>
      </c>
      <c r="H8">
        <f>8.833746415</f>
        <v>8.8337464150000002</v>
      </c>
      <c r="I8">
        <f>42.55594663</f>
        <v>42.555946630000001</v>
      </c>
      <c r="J8">
        <f>154.67731</f>
        <v>154.67731000000001</v>
      </c>
      <c r="K8">
        <f>5.4888348</f>
        <v>5.4888348000000002</v>
      </c>
      <c r="L8">
        <f>7686.5408</f>
        <v>7686.5407999999998</v>
      </c>
    </row>
    <row r="9" spans="1:12" x14ac:dyDescent="0.25">
      <c r="A9">
        <f>0.67</f>
        <v>0.67</v>
      </c>
      <c r="B9">
        <f>37.46299729</f>
        <v>37.462997289999997</v>
      </c>
      <c r="C9">
        <f>35.21047494</f>
        <v>35.210474939999997</v>
      </c>
      <c r="D9">
        <f>33.92475741</f>
        <v>33.924757409999998</v>
      </c>
      <c r="E9">
        <f>69.13523234</f>
        <v>69.135232340000002</v>
      </c>
      <c r="F9">
        <f>36.49919677</f>
        <v>36.499196769999998</v>
      </c>
      <c r="G9">
        <f>34.30462445</f>
        <v>34.304624449999999</v>
      </c>
      <c r="H9">
        <f>8.834731305</f>
        <v>8.834731305</v>
      </c>
      <c r="I9">
        <f>43.13935576</f>
        <v>43.139355760000001</v>
      </c>
      <c r="J9">
        <f>152.1842</f>
        <v>152.1842</v>
      </c>
      <c r="K9">
        <f>5.5833441</f>
        <v>5.5833440999999997</v>
      </c>
      <c r="L9">
        <f>7449.7728</f>
        <v>7449.7727999999997</v>
      </c>
    </row>
    <row r="10" spans="1:12" x14ac:dyDescent="0.25">
      <c r="A10">
        <f>0.68</f>
        <v>0.68</v>
      </c>
      <c r="B10">
        <f>38.0221465</f>
        <v>38.022146499999998</v>
      </c>
      <c r="C10">
        <f>35.80832842</f>
        <v>35.808328420000002</v>
      </c>
      <c r="D10">
        <f>33.79135083</f>
        <v>33.791350829999999</v>
      </c>
      <c r="E10">
        <f>69.59967925</f>
        <v>69.599679249999994</v>
      </c>
      <c r="F10">
        <f>37.0439609</f>
        <v>37.043960900000002</v>
      </c>
      <c r="G10">
        <f>34.88709712</f>
        <v>34.88709712</v>
      </c>
      <c r="H10">
        <f>8.836390705</f>
        <v>8.8363907049999995</v>
      </c>
      <c r="I10">
        <f>43.72348782</f>
        <v>43.723487820000003</v>
      </c>
      <c r="J10">
        <f>149.54005</f>
        <v>149.54005000000001</v>
      </c>
      <c r="K10">
        <f>5.6812932</f>
        <v>5.6812931999999998</v>
      </c>
      <c r="L10">
        <f>7212.6836</f>
        <v>7212.6836000000003</v>
      </c>
    </row>
    <row r="11" spans="1:12" x14ac:dyDescent="0.25">
      <c r="A11">
        <f>0.69</f>
        <v>0.69</v>
      </c>
      <c r="B11">
        <f>38.58129572</f>
        <v>38.58129572</v>
      </c>
      <c r="C11">
        <f>36.40623691</f>
        <v>36.406236909999997</v>
      </c>
      <c r="D11">
        <f>33.65775642</f>
        <v>33.657756419999998</v>
      </c>
      <c r="E11">
        <f>70.06399333</f>
        <v>70.063993330000002</v>
      </c>
      <c r="F11">
        <f>37.58872503</f>
        <v>37.588725029999999</v>
      </c>
      <c r="G11">
        <f>35.46962337</f>
        <v>35.469623370000001</v>
      </c>
      <c r="H11">
        <f>8.838759355</f>
        <v>8.8387593550000005</v>
      </c>
      <c r="I11">
        <f>44.30838273</f>
        <v>44.308382729999998</v>
      </c>
      <c r="J11">
        <f>146.74392</f>
        <v>146.74392</v>
      </c>
      <c r="K11">
        <f>5.7828869</f>
        <v>5.7828869000000003</v>
      </c>
      <c r="L11">
        <f>6975.2424</f>
        <v>6975.2424000000001</v>
      </c>
    </row>
    <row r="12" spans="1:12" x14ac:dyDescent="0.25">
      <c r="A12">
        <f>0.7</f>
        <v>0.7</v>
      </c>
      <c r="B12">
        <f>39.14044493</f>
        <v>39.140444930000001</v>
      </c>
      <c r="C12">
        <f>37.00420648</f>
        <v>37.004206480000001</v>
      </c>
      <c r="D12">
        <f>33.52395331</f>
        <v>33.523953310000003</v>
      </c>
      <c r="E12">
        <f>70.5281598</f>
        <v>70.528159799999997</v>
      </c>
      <c r="F12">
        <f>38.13348916</f>
        <v>38.133489160000003</v>
      </c>
      <c r="G12">
        <f>36.05220915</f>
        <v>36.052209150000003</v>
      </c>
      <c r="H12">
        <f>8.841874771</f>
        <v>8.8418747710000005</v>
      </c>
      <c r="I12">
        <f>44.89408392</f>
        <v>44.89408392</v>
      </c>
      <c r="J12">
        <f>143.79474</f>
        <v>143.79473999999999</v>
      </c>
      <c r="K12">
        <f>5.8883493</f>
        <v>5.8883492999999998</v>
      </c>
      <c r="L12">
        <f>6737.4141</f>
        <v>6737.4141</v>
      </c>
    </row>
    <row r="13" spans="1:12" x14ac:dyDescent="0.25">
      <c r="A13">
        <f>0.71</f>
        <v>0.71</v>
      </c>
      <c r="B13">
        <f>39.69959414</f>
        <v>39.699594140000002</v>
      </c>
      <c r="C13">
        <f>37.60224419</f>
        <v>37.60224419</v>
      </c>
      <c r="D13">
        <f>33.38991736</f>
        <v>33.389917359999998</v>
      </c>
      <c r="E13">
        <f>70.99216155</f>
        <v>70.992161550000006</v>
      </c>
      <c r="F13">
        <f>38.67825329</f>
        <v>38.678253290000001</v>
      </c>
      <c r="G13">
        <f>36.6348613</f>
        <v>36.634861299999997</v>
      </c>
      <c r="H13">
        <f>8.845777587</f>
        <v>8.8457775870000006</v>
      </c>
      <c r="I13">
        <f>45.48063889</f>
        <v>45.480638890000002</v>
      </c>
      <c r="J13">
        <f>140.69129</f>
        <v>140.69129000000001</v>
      </c>
      <c r="K13">
        <f>5.9979253</f>
        <v>5.9979253000000003</v>
      </c>
      <c r="L13">
        <f>6499.1588</f>
        <v>6499.1588000000002</v>
      </c>
    </row>
    <row r="14" spans="1:12" x14ac:dyDescent="0.25">
      <c r="A14">
        <f>0.72</f>
        <v>0.72</v>
      </c>
      <c r="B14">
        <f>40.25874336</f>
        <v>40.258743359999997</v>
      </c>
      <c r="C14">
        <f>38.20035821</f>
        <v>38.200358209999997</v>
      </c>
      <c r="D14">
        <f>33.25562045</f>
        <v>33.255620450000002</v>
      </c>
      <c r="E14">
        <f>71.45597867</f>
        <v>71.455978669999993</v>
      </c>
      <c r="F14">
        <f>39.22301742</f>
        <v>39.223017419999998</v>
      </c>
      <c r="G14">
        <f>37.2175878</f>
        <v>37.217587799999997</v>
      </c>
      <c r="H14">
        <f>8.850511967</f>
        <v>8.8505119669999992</v>
      </c>
      <c r="I14">
        <f>46.06809977</f>
        <v>46.068099770000003</v>
      </c>
      <c r="J14">
        <f>137.43217</f>
        <v>137.43217000000001</v>
      </c>
      <c r="K14">
        <f>6.1118842</f>
        <v>6.1118842000000004</v>
      </c>
      <c r="L14">
        <f>6260.4305</f>
        <v>6260.4305000000004</v>
      </c>
    </row>
    <row r="15" spans="1:12" x14ac:dyDescent="0.25">
      <c r="A15">
        <f>0.73</f>
        <v>0.73</v>
      </c>
      <c r="B15">
        <f>40.81789257</f>
        <v>40.817892569999998</v>
      </c>
      <c r="C15">
        <f>38.79855814</f>
        <v>38.798558139999997</v>
      </c>
      <c r="D15">
        <f>33.12102966</f>
        <v>33.121029659999998</v>
      </c>
      <c r="E15">
        <f>71.9195878</f>
        <v>71.919587800000002</v>
      </c>
      <c r="F15">
        <f>39.76778155</f>
        <v>39.767781550000002</v>
      </c>
      <c r="G15">
        <f>37.800398</f>
        <v>37.800398000000001</v>
      </c>
      <c r="H15">
        <f>8.856126088</f>
        <v>8.8561260879999999</v>
      </c>
      <c r="I15">
        <f>46.65652408</f>
        <v>46.656524079999997</v>
      </c>
      <c r="J15">
        <f>134.01577</f>
        <v>134.01577</v>
      </c>
      <c r="K15">
        <f>6.2305234</f>
        <v>6.2305234</v>
      </c>
      <c r="L15">
        <f>6021.176</f>
        <v>6021.1760000000004</v>
      </c>
    </row>
    <row r="16" spans="1:12" x14ac:dyDescent="0.25">
      <c r="A16">
        <f>0.74</f>
        <v>0.74</v>
      </c>
      <c r="B16">
        <f>41.37704178</f>
        <v>41.377041779999999</v>
      </c>
      <c r="C16">
        <f>39.39685527</f>
        <v>39.396855270000003</v>
      </c>
      <c r="D16">
        <f>32.98610622</f>
        <v>32.986106220000003</v>
      </c>
      <c r="E16">
        <f>72.38296149</f>
        <v>72.38296149</v>
      </c>
      <c r="F16">
        <f>40.31254568</f>
        <v>40.312545679999999</v>
      </c>
      <c r="G16">
        <f>38.3833029</f>
        <v>38.383302899999997</v>
      </c>
      <c r="H16">
        <f>8.862672789</f>
        <v>8.8626727889999994</v>
      </c>
      <c r="I16">
        <f>47.24597569</f>
        <v>47.245975690000002</v>
      </c>
      <c r="J16">
        <f>130.44021</f>
        <v>130.44021000000001</v>
      </c>
      <c r="K16">
        <f>6.3541728</f>
        <v>6.3541727999999997</v>
      </c>
      <c r="L16">
        <f>5781.3336</f>
        <v>5781.3335999999999</v>
      </c>
    </row>
    <row r="17" spans="1:12" x14ac:dyDescent="0.25">
      <c r="A17">
        <f>0.75</f>
        <v>0.75</v>
      </c>
      <c r="B17">
        <f>41.936191</f>
        <v>41.936191000000001</v>
      </c>
      <c r="C17">
        <f>39.99526306</f>
        <v>39.995263059999999</v>
      </c>
      <c r="D17">
        <f>32.85080393</f>
        <v>32.850803929999998</v>
      </c>
      <c r="E17">
        <f>72.84606699</f>
        <v>72.846066989999997</v>
      </c>
      <c r="F17">
        <f>40.85730981</f>
        <v>40.857309809999997</v>
      </c>
      <c r="G17">
        <f>38.96631561</f>
        <v>38.966315610000002</v>
      </c>
      <c r="H17">
        <f>8.870210258</f>
        <v>8.8702102580000002</v>
      </c>
      <c r="I17">
        <f>47.83652586</f>
        <v>47.836525860000002</v>
      </c>
      <c r="J17">
        <f>126.70328</f>
        <v>126.70328000000001</v>
      </c>
      <c r="K17">
        <f>6.4832004</f>
        <v>6.4832004000000003</v>
      </c>
      <c r="L17">
        <f>5540.8307</f>
        <v>5540.8307000000004</v>
      </c>
    </row>
    <row r="18" spans="1:12" x14ac:dyDescent="0.25">
      <c r="A18">
        <f>0.76</f>
        <v>0.76</v>
      </c>
      <c r="B18">
        <f>42.49534021</f>
        <v>42.495340210000002</v>
      </c>
      <c r="C18">
        <f>40.5937976</f>
        <v>40.593797600000002</v>
      </c>
      <c r="D18">
        <f>32.71506745</f>
        <v>32.715067449999999</v>
      </c>
      <c r="E18">
        <f>73.30886505</f>
        <v>73.308865049999994</v>
      </c>
      <c r="F18">
        <f>41.40207394</f>
        <v>41.402073940000001</v>
      </c>
      <c r="G18">
        <f>39.54945181</f>
        <v>39.549451810000001</v>
      </c>
      <c r="H18">
        <f>8.878803007</f>
        <v>8.8788030070000001</v>
      </c>
      <c r="I18">
        <f>48.42825482</f>
        <v>48.428254819999999</v>
      </c>
      <c r="J18">
        <f>122.80242</f>
        <v>122.80242</v>
      </c>
      <c r="K18">
        <f>6.6180195</f>
        <v>6.6180194999999999</v>
      </c>
      <c r="L18">
        <f>5299.5817</f>
        <v>5299.5816999999997</v>
      </c>
    </row>
    <row r="19" spans="1:12" x14ac:dyDescent="0.25">
      <c r="A19">
        <f>0.77</f>
        <v>0.77</v>
      </c>
      <c r="B19">
        <f>43.05448942</f>
        <v>43.054489420000003</v>
      </c>
      <c r="C19">
        <f>41.19247841</f>
        <v>41.19247841</v>
      </c>
      <c r="D19">
        <f>32.57882976</f>
        <v>32.578829759999998</v>
      </c>
      <c r="E19">
        <f>73.77130817</f>
        <v>73.771308169999998</v>
      </c>
      <c r="F19">
        <f>41.94683807</f>
        <v>41.946838069999998</v>
      </c>
      <c r="G19">
        <f>40.13273052</f>
        <v>40.132730520000003</v>
      </c>
      <c r="H19">
        <f>8.888523056</f>
        <v>8.8885230560000004</v>
      </c>
      <c r="I19">
        <f>49.02125358</f>
        <v>49.02125358</v>
      </c>
      <c r="J19">
        <f>118.73453</f>
        <v>118.73453000000001</v>
      </c>
      <c r="K19">
        <f>6.759098</f>
        <v>6.7590979999999998</v>
      </c>
      <c r="L19">
        <f>5057.4846</f>
        <v>5057.4845999999998</v>
      </c>
    </row>
    <row r="20" spans="1:12" x14ac:dyDescent="0.25">
      <c r="A20">
        <f>0.78</f>
        <v>0.78</v>
      </c>
      <c r="B20">
        <f>43.61363864</f>
        <v>43.613638639999998</v>
      </c>
      <c r="C20">
        <f>41.79132936</f>
        <v>41.791329359999999</v>
      </c>
      <c r="D20">
        <f>32.44200881</f>
        <v>32.442008809999997</v>
      </c>
      <c r="E20">
        <f>74.23333817</f>
        <v>74.233338169999996</v>
      </c>
      <c r="F20">
        <f>42.49160221</f>
        <v>42.491602210000003</v>
      </c>
      <c r="G20">
        <f>40.71617499</f>
        <v>40.716174989999999</v>
      </c>
      <c r="H20">
        <f>8.899451493</f>
        <v>8.8994514930000008</v>
      </c>
      <c r="I20">
        <f>49.61562648</f>
        <v>49.615626480000003</v>
      </c>
      <c r="J20">
        <f>114.49591</f>
        <v>114.49590999999999</v>
      </c>
      <c r="K20">
        <f>6.9069698</f>
        <v>6.9069697999999997</v>
      </c>
      <c r="L20">
        <f>4814.4165</f>
        <v>4814.4165000000003</v>
      </c>
    </row>
    <row r="21" spans="1:12" x14ac:dyDescent="0.25">
      <c r="A21">
        <f>0.79</f>
        <v>0.79</v>
      </c>
      <c r="B21">
        <f>44.17278785</f>
        <v>44.172787849999999</v>
      </c>
      <c r="C21">
        <f>42.39038</f>
        <v>42.39038</v>
      </c>
      <c r="D21">
        <f>32.30450297</f>
        <v>32.304502970000001</v>
      </c>
      <c r="E21">
        <f>74.69488297</f>
        <v>74.694882969999995</v>
      </c>
      <c r="F21">
        <f>43.03636634</f>
        <v>43.036366340000001</v>
      </c>
      <c r="G21">
        <f>41.29981402</f>
        <v>41.299814019999999</v>
      </c>
      <c r="H21">
        <f>8.911680535</f>
        <v>8.9116805350000003</v>
      </c>
      <c r="I21">
        <f>50.21149455</f>
        <v>50.211494549999998</v>
      </c>
      <c r="J21">
        <f>110.08209</f>
        <v>110.08208999999999</v>
      </c>
      <c r="K21">
        <f>7.062251</f>
        <v>7.0622509999999998</v>
      </c>
      <c r="L21">
        <f>4570.2279</f>
        <v>4570.2278999999999</v>
      </c>
    </row>
    <row r="22" spans="1:12" x14ac:dyDescent="0.25">
      <c r="A22">
        <f>0.8</f>
        <v>0.8</v>
      </c>
      <c r="B22">
        <f>44.73193706</f>
        <v>44.73193706</v>
      </c>
      <c r="C22">
        <f>42.98966748</f>
        <v>42.989667480000001</v>
      </c>
      <c r="D22">
        <f>32.16618454</f>
        <v>32.166184540000003</v>
      </c>
      <c r="E22">
        <f>75.15585203</f>
        <v>75.155852030000005</v>
      </c>
      <c r="F22">
        <f>43.58113047</f>
        <v>43.581130469999998</v>
      </c>
      <c r="G22">
        <f>41.88368379</f>
        <v>41.883683789999999</v>
      </c>
      <c r="H22">
        <f>8.925316333</f>
        <v>8.9253163329999996</v>
      </c>
      <c r="I22">
        <f>50.80900012</f>
        <v>50.80900012</v>
      </c>
      <c r="J22">
        <f>105.48754</f>
        <v>105.48754</v>
      </c>
      <c r="K22">
        <f>7.2256612</f>
        <v>7.2256612000000002</v>
      </c>
      <c r="L22">
        <f>4324.7346</f>
        <v>4324.7345999999998</v>
      </c>
    </row>
    <row r="23" spans="1:12" x14ac:dyDescent="0.25">
      <c r="A23">
        <f>0.81</f>
        <v>0.81</v>
      </c>
      <c r="B23">
        <f>45.29108628</f>
        <v>45.291086280000002</v>
      </c>
      <c r="C23">
        <f>43.58923919</f>
        <v>43.589239190000001</v>
      </c>
      <c r="D23">
        <f>32.02689055</f>
        <v>32.026890549999997</v>
      </c>
      <c r="E23">
        <f>75.61612974</f>
        <v>75.616129740000005</v>
      </c>
      <c r="F23">
        <f>44.1258946</f>
        <v>44.125894600000002</v>
      </c>
      <c r="G23">
        <f>42.46783048</f>
        <v>42.467830480000003</v>
      </c>
      <c r="H23">
        <f>8.9404829</f>
        <v>8.9404828999999992</v>
      </c>
      <c r="I23">
        <f>51.40831338</f>
        <v>51.408313380000003</v>
      </c>
      <c r="J23">
        <f>100.70538</f>
        <v>100.70538000000001</v>
      </c>
      <c r="K23">
        <f>7.3980534</f>
        <v>7.3980534000000002</v>
      </c>
      <c r="L23">
        <f>4077.706</f>
        <v>4077.7060000000001</v>
      </c>
    </row>
    <row r="24" spans="1:12" x14ac:dyDescent="0.25">
      <c r="A24">
        <f>0.82</f>
        <v>0.82</v>
      </c>
      <c r="B24">
        <f>45.85023549</f>
        <v>45.850235490000003</v>
      </c>
      <c r="C24">
        <f>44.18915673</f>
        <v>44.189156730000001</v>
      </c>
      <c r="D24">
        <f>31.88640906</f>
        <v>31.886409059999998</v>
      </c>
      <c r="E24">
        <f>76.07556579</f>
        <v>76.075565789999999</v>
      </c>
      <c r="F24">
        <f>44.67065873</f>
        <v>44.67065873</v>
      </c>
      <c r="G24">
        <f>43.0523141</f>
        <v>43.052314099999997</v>
      </c>
      <c r="H24">
        <f>8.957327751</f>
        <v>8.9573277509999993</v>
      </c>
      <c r="I24">
        <f>52.00964185</f>
        <v>52.009641850000001</v>
      </c>
      <c r="J24">
        <f>95.726857</f>
        <v>95.726856999999995</v>
      </c>
      <c r="K24">
        <f>7.5804579</f>
        <v>7.5804578999999999</v>
      </c>
      <c r="L24">
        <f>3828.8488</f>
        <v>3828.8488000000002</v>
      </c>
    </row>
    <row r="25" spans="1:12" x14ac:dyDescent="0.25">
      <c r="A25">
        <f>0.83</f>
        <v>0.83</v>
      </c>
      <c r="B25">
        <f>46.4093847</f>
        <v>46.409384699999997</v>
      </c>
      <c r="C25">
        <f>44.78950196</f>
        <v>44.789501960000003</v>
      </c>
      <c r="D25">
        <f>31.74445845</f>
        <v>31.74445845</v>
      </c>
      <c r="E25">
        <f>76.53396041</f>
        <v>76.533960410000006</v>
      </c>
      <c r="F25">
        <f>45.21542286</f>
        <v>45.215422859999997</v>
      </c>
      <c r="G25">
        <f>43.63721441</f>
        <v>43.637214409999999</v>
      </c>
      <c r="H25">
        <f>8.976030336</f>
        <v>8.9760303360000009</v>
      </c>
      <c r="I25">
        <f>52.61324474</f>
        <v>52.613244739999999</v>
      </c>
      <c r="J25">
        <f>90.540677</f>
        <v>90.540677000000002</v>
      </c>
      <c r="K25">
        <f>7.774146</f>
        <v>7.774146</v>
      </c>
      <c r="L25">
        <f>3577.7824</f>
        <v>3577.7824000000001</v>
      </c>
    </row>
    <row r="26" spans="1:12" x14ac:dyDescent="0.25">
      <c r="A26">
        <f>0.84</f>
        <v>0.84</v>
      </c>
      <c r="B26">
        <f>46.96853392</f>
        <v>46.968533919999999</v>
      </c>
      <c r="C26">
        <f>45.39038411</f>
        <v>45.390384109999999</v>
      </c>
      <c r="D26">
        <f>31.60066289</f>
        <v>31.600662889999999</v>
      </c>
      <c r="E26">
        <f>76.991047</f>
        <v>76.991046999999995</v>
      </c>
      <c r="F26">
        <f>45.76018699</f>
        <v>45.760186990000001</v>
      </c>
      <c r="G26">
        <f>44.22263782</f>
        <v>44.222637820000003</v>
      </c>
      <c r="H26">
        <f>8.996813875</f>
        <v>8.9968138750000008</v>
      </c>
      <c r="I26">
        <f>53.21945169</f>
        <v>53.21945169</v>
      </c>
      <c r="J26">
        <f>85.135673</f>
        <v>85.135672999999997</v>
      </c>
      <c r="K26">
        <f>7.9807189</f>
        <v>7.9807189000000003</v>
      </c>
      <c r="L26">
        <f>3324.1496</f>
        <v>3324.1496000000002</v>
      </c>
    </row>
    <row r="27" spans="1:12" x14ac:dyDescent="0.25">
      <c r="A27">
        <f>0.85</f>
        <v>0.85</v>
      </c>
      <c r="B27">
        <f>47.52768313</f>
        <v>47.52768313</v>
      </c>
      <c r="C27">
        <f>45.99196517</f>
        <v>45.99196517</v>
      </c>
      <c r="D27">
        <f>31.45446485</f>
        <v>31.454464850000001</v>
      </c>
      <c r="E27">
        <f>77.44643002</f>
        <v>77.446430019999994</v>
      </c>
      <c r="F27">
        <f>46.30495112</f>
        <v>46.304951119999998</v>
      </c>
      <c r="G27">
        <f>44.80874217</f>
        <v>44.808742170000002</v>
      </c>
      <c r="H27">
        <f>9.019971662</f>
        <v>9.0199716619999997</v>
      </c>
      <c r="I27">
        <f>53.82871383</f>
        <v>53.828713829999998</v>
      </c>
      <c r="J27">
        <f>79.483278</f>
        <v>79.483277999999999</v>
      </c>
      <c r="K27">
        <f>8.2023191</f>
        <v>8.2023191000000004</v>
      </c>
      <c r="L27">
        <f>3066.9388</f>
        <v>3066.9387999999999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Gross_elec_eff</vt:lpstr>
      <vt:lpstr>Net_elec_eff</vt:lpstr>
      <vt:lpstr>Heat_eff</vt:lpstr>
      <vt:lpstr>Tot_eff</vt:lpstr>
      <vt:lpstr>P_i</vt:lpstr>
      <vt:lpstr>FU 0.7</vt:lpstr>
      <vt:lpstr>FU 0.71</vt:lpstr>
      <vt:lpstr>FU 0.72</vt:lpstr>
      <vt:lpstr>FU 0.73</vt:lpstr>
      <vt:lpstr>FU 0.74</vt:lpstr>
      <vt:lpstr>FU 0.75</vt:lpstr>
      <vt:lpstr>FU 0.76</vt:lpstr>
      <vt:lpstr>FU 0.77</vt:lpstr>
      <vt:lpstr>FU 0.78</vt:lpstr>
      <vt:lpstr>FU 0.79</vt:lpstr>
      <vt:lpstr>FU 0.8</vt:lpstr>
      <vt:lpstr>FU 0.81</vt:lpstr>
      <vt:lpstr>FU 0.82</vt:lpstr>
      <vt:lpstr>FU 0.83</vt:lpstr>
      <vt:lpstr>FU 0.84</vt:lpstr>
      <vt:lpstr>FU 0.85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Berend van Veldhuizen</cp:lastModifiedBy>
  <dcterms:created xsi:type="dcterms:W3CDTF">2021-11-10T14:26:52Z</dcterms:created>
  <dcterms:modified xsi:type="dcterms:W3CDTF">2021-11-15T10:10:51Z</dcterms:modified>
</cp:coreProperties>
</file>