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akf\Dropbox\Phil Trans Archive\Statistical Spreadsheets\Dataseries individually\"/>
    </mc:Choice>
  </mc:AlternateContent>
  <xr:revisionPtr revIDLastSave="0" documentId="13_ncr:1_{68C98C31-EBD0-4E61-9D40-FF4B856D7DD1}" xr6:coauthVersionLast="47" xr6:coauthVersionMax="47" xr10:uidLastSave="{00000000-0000-0000-0000-000000000000}"/>
  <bookViews>
    <workbookView xWindow="-120" yWindow="-120" windowWidth="29040" windowHeight="15840" xr2:uid="{00000000-000D-0000-FFFF-FFFF00000000}"/>
  </bookViews>
  <sheets>
    <sheet name="README" sheetId="8" r:id="rId1"/>
    <sheet name="Income" sheetId="1" r:id="rId2"/>
    <sheet name="Expenditure" sheetId="2" r:id="rId3"/>
    <sheet name="Inc-Exp1880-2010" sheetId="10" r:id="rId4"/>
    <sheet name="Surplus_deficit" sheetId="3" r:id="rId5"/>
    <sheet name="RPI_1880-2010"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18" i="1" l="1"/>
  <c r="AR118" i="1"/>
  <c r="AM118" i="1"/>
  <c r="AQ118" i="1" s="1"/>
  <c r="AA118" i="1"/>
  <c r="R118" i="1"/>
  <c r="M118" i="1"/>
  <c r="I118" i="1"/>
  <c r="E118" i="1"/>
  <c r="BQ119" i="2"/>
  <c r="BM119" i="2"/>
  <c r="BI119" i="2"/>
  <c r="BW119" i="2" s="1"/>
  <c r="BV119" i="2" s="1"/>
  <c r="BH119" i="2"/>
  <c r="AV119" i="2"/>
  <c r="AU119" i="2"/>
  <c r="AP119" i="2"/>
  <c r="AQ119" i="2"/>
  <c r="AH119" i="2"/>
  <c r="AD119" i="2"/>
  <c r="Z119" i="2"/>
  <c r="U119" i="2"/>
  <c r="V119" i="2"/>
  <c r="E119" i="2"/>
  <c r="M119" i="2"/>
  <c r="I119" i="2"/>
  <c r="BM128" i="2"/>
  <c r="BR128" i="2" s="1"/>
  <c r="BW128" i="2" s="1"/>
  <c r="BV128" i="2" s="1"/>
  <c r="BI128" i="2"/>
  <c r="AV128" i="2"/>
  <c r="BX125" i="2" l="1"/>
  <c r="BR125" i="2"/>
  <c r="BW125" i="2" s="1"/>
  <c r="BQ125" i="2"/>
  <c r="BP125" i="2"/>
  <c r="BM125" i="2"/>
  <c r="BI125" i="2"/>
  <c r="BH125" i="2"/>
  <c r="BW126" i="2"/>
  <c r="BR126" i="2"/>
  <c r="BQ126" i="2"/>
  <c r="BP126" i="2"/>
  <c r="BI126" i="2"/>
  <c r="BH126" i="2"/>
  <c r="BW127" i="2"/>
  <c r="BQ127" i="2"/>
  <c r="BP127" i="2"/>
  <c r="BR127" i="2" s="1"/>
  <c r="BH127" i="2"/>
  <c r="BI127" i="2" s="1"/>
  <c r="AR123" i="1"/>
  <c r="AQ123" i="1"/>
  <c r="AA123" i="1"/>
  <c r="R123" i="1"/>
  <c r="M123" i="1"/>
  <c r="I123" i="1"/>
  <c r="E123" i="1"/>
  <c r="AR124" i="1"/>
  <c r="AQ124" i="1"/>
  <c r="AA124" i="1"/>
  <c r="R124" i="1"/>
  <c r="M124" i="1"/>
  <c r="I124" i="1"/>
  <c r="E124" i="1"/>
  <c r="AR125" i="1"/>
  <c r="AQ125" i="1"/>
  <c r="AA125" i="1"/>
  <c r="R125" i="1"/>
  <c r="M125" i="1"/>
  <c r="I125" i="1"/>
  <c r="E125" i="1"/>
  <c r="R126" i="1"/>
  <c r="AQ126" i="1"/>
  <c r="AR126" i="1"/>
  <c r="AA126" i="1"/>
  <c r="M126" i="1"/>
  <c r="I126" i="1"/>
  <c r="E126" i="1"/>
  <c r="B21" i="3"/>
  <c r="C21" i="3"/>
  <c r="F21" i="3"/>
  <c r="G21" i="3"/>
  <c r="F23" i="3"/>
  <c r="G23" i="3"/>
  <c r="F24" i="3"/>
  <c r="G24" i="3"/>
  <c r="F25" i="3"/>
  <c r="G25" i="3"/>
  <c r="F26" i="3"/>
  <c r="G26" i="3"/>
  <c r="F27" i="3"/>
  <c r="G27" i="3"/>
  <c r="F28" i="3"/>
  <c r="G28" i="3"/>
  <c r="F29" i="3"/>
  <c r="G29" i="3"/>
  <c r="F30" i="3"/>
  <c r="G30" i="3"/>
  <c r="F31" i="3"/>
  <c r="G31" i="3"/>
  <c r="F33" i="3"/>
  <c r="G33" i="3"/>
  <c r="F34" i="3"/>
  <c r="G34" i="3"/>
  <c r="F35" i="3"/>
  <c r="G35" i="3"/>
  <c r="F36" i="3"/>
  <c r="G36" i="3"/>
  <c r="F38" i="3"/>
  <c r="G38" i="3"/>
  <c r="F40" i="3"/>
  <c r="G40" i="3"/>
  <c r="BJ131" i="1" l="1"/>
  <c r="BJ130" i="1"/>
  <c r="BJ129" i="1"/>
  <c r="BJ128" i="1"/>
  <c r="BJ127" i="1"/>
  <c r="BJ126" i="1"/>
  <c r="BJ125" i="1"/>
  <c r="BJ123" i="1"/>
  <c r="BJ122" i="1"/>
  <c r="BJ121" i="1"/>
  <c r="BJ120" i="1"/>
  <c r="BJ119" i="1"/>
  <c r="BJ118" i="1"/>
  <c r="BJ117" i="1"/>
  <c r="BJ116" i="1"/>
  <c r="BJ106" i="1"/>
  <c r="BJ100" i="1"/>
  <c r="BJ99" i="1"/>
  <c r="BJ92" i="1"/>
  <c r="BJ91" i="1"/>
  <c r="BJ21" i="1"/>
  <c r="BX118" i="2"/>
  <c r="BX127" i="2"/>
  <c r="BW101" i="2"/>
  <c r="BR124" i="2"/>
  <c r="BR123" i="2"/>
  <c r="BR122" i="2"/>
  <c r="BR121" i="2"/>
  <c r="BR120" i="2"/>
  <c r="BR119" i="2"/>
  <c r="BR118" i="2"/>
  <c r="BR117" i="2"/>
  <c r="BR116" i="2"/>
  <c r="BR115" i="2"/>
  <c r="BR114" i="2"/>
  <c r="BR110" i="2"/>
  <c r="BR107" i="2"/>
  <c r="BW107" i="2" s="1"/>
  <c r="BX107" i="2" s="1"/>
  <c r="BR102" i="2"/>
  <c r="BR101" i="2"/>
  <c r="BR98" i="2"/>
  <c r="BR97" i="2"/>
  <c r="BR96" i="2"/>
  <c r="BR95" i="2"/>
  <c r="BR94" i="2"/>
  <c r="BR93" i="2"/>
  <c r="BR92" i="2"/>
  <c r="AQ91" i="2"/>
  <c r="AQ90" i="2"/>
  <c r="BV110" i="2"/>
  <c r="BQ110" i="2"/>
  <c r="AR109" i="1"/>
  <c r="AV109" i="1"/>
  <c r="BV107" i="2"/>
  <c r="H106" i="3" s="1"/>
  <c r="AV106" i="1"/>
  <c r="BQ107" i="2"/>
  <c r="AR106" i="1"/>
  <c r="AR100" i="1"/>
  <c r="AR92" i="1"/>
  <c r="K126" i="3"/>
  <c r="K127" i="3"/>
  <c r="BW129" i="2"/>
  <c r="BW130" i="2"/>
  <c r="BW131" i="2"/>
  <c r="K130" i="3" s="1"/>
  <c r="BW132" i="2"/>
  <c r="K131" i="3" s="1"/>
  <c r="BW133" i="2"/>
  <c r="BW134" i="2"/>
  <c r="K133" i="3" s="1"/>
  <c r="BW135" i="2"/>
  <c r="BW136" i="2"/>
  <c r="BW122" i="2"/>
  <c r="K121" i="3" s="1"/>
  <c r="BW121" i="2"/>
  <c r="BW120" i="2"/>
  <c r="BW118" i="2"/>
  <c r="K117" i="3" s="1"/>
  <c r="BW117" i="2"/>
  <c r="BW93" i="2"/>
  <c r="BW92" i="2"/>
  <c r="BW88" i="2"/>
  <c r="BX88" i="2" s="1"/>
  <c r="BW87" i="2"/>
  <c r="BX87" i="2" s="1"/>
  <c r="BI113" i="2"/>
  <c r="BI112" i="2"/>
  <c r="BI111" i="2"/>
  <c r="BI110" i="2"/>
  <c r="BI109" i="2"/>
  <c r="BI108" i="2"/>
  <c r="BI107" i="2"/>
  <c r="BI106" i="2"/>
  <c r="BI105" i="2"/>
  <c r="BI104" i="2"/>
  <c r="BI101" i="2"/>
  <c r="BI98" i="2"/>
  <c r="H131" i="3"/>
  <c r="J131" i="3" s="1"/>
  <c r="H130" i="3"/>
  <c r="J130" i="3" s="1"/>
  <c r="H129" i="3"/>
  <c r="J129" i="3" s="1"/>
  <c r="H132" i="3"/>
  <c r="J132" i="3" s="1"/>
  <c r="BW124" i="2"/>
  <c r="BW123" i="2"/>
  <c r="H127" i="3"/>
  <c r="J127" i="3" s="1"/>
  <c r="H126" i="3"/>
  <c r="J126" i="3" s="1"/>
  <c r="H125" i="3"/>
  <c r="J125" i="3" s="1"/>
  <c r="H123" i="3"/>
  <c r="J123" i="3" s="1"/>
  <c r="H122" i="3"/>
  <c r="J122" i="3" s="1"/>
  <c r="BX128" i="2" l="1"/>
  <c r="K118" i="3"/>
  <c r="BX119" i="2"/>
  <c r="K125" i="3"/>
  <c r="BX126" i="2"/>
  <c r="K132" i="3"/>
  <c r="BX133" i="2"/>
  <c r="K128" i="3"/>
  <c r="BX129" i="2"/>
  <c r="K122" i="3"/>
  <c r="BX123" i="2"/>
  <c r="BW110" i="2"/>
  <c r="BX110" i="2" s="1"/>
  <c r="K123" i="3"/>
  <c r="BX124" i="2"/>
  <c r="BJ109" i="1"/>
  <c r="K100" i="3"/>
  <c r="BX101" i="2"/>
  <c r="BX132" i="2"/>
  <c r="K91" i="3"/>
  <c r="BX92" i="2"/>
  <c r="K119" i="3"/>
  <c r="BX120" i="2"/>
  <c r="K92" i="3"/>
  <c r="BX93" i="2"/>
  <c r="K116" i="3"/>
  <c r="BX117" i="2"/>
  <c r="K120" i="3"/>
  <c r="BX121" i="2"/>
  <c r="K129" i="3"/>
  <c r="BX130" i="2"/>
  <c r="K106" i="3"/>
  <c r="BX131" i="2"/>
  <c r="BX122" i="2"/>
  <c r="AU23" i="2"/>
  <c r="F22" i="3" s="1"/>
  <c r="BV23" i="2"/>
  <c r="BV42" i="2"/>
  <c r="BM42" i="2"/>
  <c r="BR42" i="2" s="1"/>
  <c r="AU42" i="2"/>
  <c r="F41" i="3" s="1"/>
  <c r="AP42" i="2"/>
  <c r="U42" i="2"/>
  <c r="BI41" i="1"/>
  <c r="AY41" i="1"/>
  <c r="AS41" i="1"/>
  <c r="AV41" i="1"/>
  <c r="BS40" i="2"/>
  <c r="BV40" i="2"/>
  <c r="BM40" i="2"/>
  <c r="BR40" i="2" s="1"/>
  <c r="AU40" i="2"/>
  <c r="F39" i="3" s="1"/>
  <c r="AP40" i="2"/>
  <c r="U40" i="2"/>
  <c r="AY39" i="1"/>
  <c r="BI39" i="1" s="1"/>
  <c r="AS39" i="1"/>
  <c r="AV39" i="1" s="1"/>
  <c r="V39" i="1"/>
  <c r="BD33" i="2"/>
  <c r="AP33" i="2"/>
  <c r="AT33" i="2"/>
  <c r="AS33" i="2"/>
  <c r="AR33" i="2"/>
  <c r="BV33" i="2"/>
  <c r="AS32" i="1"/>
  <c r="AV32" i="1" s="1"/>
  <c r="BI32" i="1"/>
  <c r="G32" i="3" s="1"/>
  <c r="AY32" i="1"/>
  <c r="BI22" i="1"/>
  <c r="G22" i="3" s="1"/>
  <c r="AZ29" i="2"/>
  <c r="AZ28" i="2"/>
  <c r="AZ27" i="2"/>
  <c r="AZ26" i="2"/>
  <c r="BH26" i="2" s="1"/>
  <c r="AZ25" i="2"/>
  <c r="BH25" i="2" s="1"/>
  <c r="AZ24" i="2"/>
  <c r="BH24" i="2" s="1"/>
  <c r="AZ23" i="2"/>
  <c r="BH23" i="2" s="1"/>
  <c r="AZ22" i="2"/>
  <c r="BH22" i="2" s="1"/>
  <c r="AZ21" i="2"/>
  <c r="BH21" i="2" s="1"/>
  <c r="AZ20" i="2"/>
  <c r="AZ19" i="2"/>
  <c r="BH19" i="2" s="1"/>
  <c r="AZ18" i="2"/>
  <c r="BH18" i="2" s="1"/>
  <c r="AZ17" i="2"/>
  <c r="BH17" i="2" s="1"/>
  <c r="AZ16" i="2"/>
  <c r="BH16" i="2" s="1"/>
  <c r="AZ15" i="2"/>
  <c r="AZ9" i="2"/>
  <c r="AZ8" i="2"/>
  <c r="BH8" i="2" s="1"/>
  <c r="AZ6" i="2"/>
  <c r="BH6" i="2" s="1"/>
  <c r="AZ3" i="2"/>
  <c r="BH3" i="2" s="1"/>
  <c r="BH30" i="2"/>
  <c r="BH29" i="2"/>
  <c r="BH27" i="2"/>
  <c r="BH15" i="2"/>
  <c r="BH11" i="2"/>
  <c r="BH10" i="2"/>
  <c r="AU38" i="2"/>
  <c r="AP38" i="2"/>
  <c r="U38" i="2"/>
  <c r="AS37" i="1"/>
  <c r="AV37" i="1"/>
  <c r="AA37" i="1"/>
  <c r="F37" i="3" s="1"/>
  <c r="X37" i="1"/>
  <c r="V37" i="1"/>
  <c r="AY37" i="1"/>
  <c r="BI37" i="1" s="1"/>
  <c r="BU53" i="2"/>
  <c r="BT53" i="2"/>
  <c r="BS53" i="2"/>
  <c r="AU53" i="2"/>
  <c r="AY22" i="1"/>
  <c r="AL24" i="2"/>
  <c r="AL25" i="2"/>
  <c r="AL26" i="2"/>
  <c r="AL28" i="2"/>
  <c r="AL29" i="2"/>
  <c r="AL30" i="2"/>
  <c r="AL31" i="2"/>
  <c r="AL23" i="2"/>
  <c r="E22" i="2"/>
  <c r="E21" i="2"/>
  <c r="E20" i="2"/>
  <c r="E19" i="2"/>
  <c r="E18" i="2"/>
  <c r="E17" i="2"/>
  <c r="E16" i="2"/>
  <c r="E15" i="2"/>
  <c r="E14" i="2"/>
  <c r="E13" i="2"/>
  <c r="E12" i="2"/>
  <c r="E11" i="2"/>
  <c r="E10" i="2"/>
  <c r="E9" i="2"/>
  <c r="E8" i="2"/>
  <c r="E7" i="2"/>
  <c r="E6" i="2"/>
  <c r="E5" i="2"/>
  <c r="E4" i="2"/>
  <c r="E3" i="2"/>
  <c r="I22" i="2"/>
  <c r="I21" i="2"/>
  <c r="I20" i="2"/>
  <c r="I19" i="2"/>
  <c r="I18" i="2"/>
  <c r="I17" i="2"/>
  <c r="I16" i="2"/>
  <c r="I15" i="2"/>
  <c r="I14" i="2"/>
  <c r="I13" i="2"/>
  <c r="I12" i="2"/>
  <c r="I11" i="2"/>
  <c r="I10" i="2"/>
  <c r="I9" i="2"/>
  <c r="AZ42" i="2"/>
  <c r="AZ41" i="2"/>
  <c r="AZ40" i="2"/>
  <c r="AZ39" i="2"/>
  <c r="AZ38" i="2"/>
  <c r="AZ37" i="2"/>
  <c r="AZ36" i="2"/>
  <c r="AZ35" i="2"/>
  <c r="AZ34" i="2"/>
  <c r="AZ33" i="2"/>
  <c r="BH33" i="2" s="1"/>
  <c r="AZ32" i="2"/>
  <c r="BH32" i="2" s="1"/>
  <c r="AZ31" i="2"/>
  <c r="BH31" i="2" s="1"/>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Q4" i="2"/>
  <c r="Q3" i="2"/>
  <c r="G39" i="3" l="1"/>
  <c r="G37" i="3"/>
  <c r="G41" i="3"/>
  <c r="K109" i="3"/>
  <c r="AU33" i="2"/>
  <c r="F32" i="3" s="1"/>
  <c r="BH20" i="2"/>
  <c r="M42" i="2" l="1"/>
  <c r="M41" i="2"/>
  <c r="M40" i="2"/>
  <c r="M39" i="2"/>
  <c r="M38" i="2"/>
  <c r="M37" i="2"/>
  <c r="M36" i="2"/>
  <c r="M35" i="2"/>
  <c r="M34" i="2"/>
  <c r="M33" i="2"/>
  <c r="M32" i="2"/>
  <c r="M31" i="2"/>
  <c r="M30" i="2"/>
  <c r="M29" i="2"/>
  <c r="M28" i="2"/>
  <c r="M27" i="2"/>
  <c r="M26" i="2"/>
  <c r="M25" i="2"/>
  <c r="M24" i="2"/>
  <c r="M23" i="2"/>
  <c r="E42" i="2"/>
  <c r="E41" i="2"/>
  <c r="E40" i="2"/>
  <c r="E39" i="2"/>
  <c r="E38" i="2"/>
  <c r="E37" i="2"/>
  <c r="E36" i="2"/>
  <c r="E35" i="2"/>
  <c r="E34" i="2"/>
  <c r="E33" i="2"/>
  <c r="E32" i="2"/>
  <c r="E31" i="2"/>
  <c r="E30" i="2"/>
  <c r="E29" i="2"/>
  <c r="E28" i="2"/>
  <c r="E27" i="2"/>
  <c r="E26" i="2"/>
  <c r="E25" i="2"/>
  <c r="E24" i="2"/>
  <c r="E23" i="2"/>
  <c r="I42" i="2"/>
  <c r="V42" i="2" s="1"/>
  <c r="I41" i="2"/>
  <c r="V41" i="2" s="1"/>
  <c r="I40" i="2"/>
  <c r="V40" i="2" s="1"/>
  <c r="I39" i="2"/>
  <c r="V39" i="2" s="1"/>
  <c r="I38" i="2"/>
  <c r="V38" i="2" s="1"/>
  <c r="I37" i="2"/>
  <c r="V37" i="2" s="1"/>
  <c r="I36" i="2"/>
  <c r="I35" i="2"/>
  <c r="V35" i="2" s="1"/>
  <c r="I34" i="2"/>
  <c r="V34" i="2" s="1"/>
  <c r="I33" i="2"/>
  <c r="V33" i="2" s="1"/>
  <c r="I32" i="2"/>
  <c r="V32" i="2" s="1"/>
  <c r="I31" i="2"/>
  <c r="V31" i="2" s="1"/>
  <c r="I30" i="2"/>
  <c r="V30" i="2" s="1"/>
  <c r="I29" i="2"/>
  <c r="V29" i="2" s="1"/>
  <c r="I28" i="2"/>
  <c r="V28" i="2" s="1"/>
  <c r="I27" i="2"/>
  <c r="V27" i="2" s="1"/>
  <c r="I26" i="2"/>
  <c r="V26" i="2" s="1"/>
  <c r="I25" i="2"/>
  <c r="V25" i="2" s="1"/>
  <c r="I24" i="2"/>
  <c r="V24" i="2" s="1"/>
  <c r="I23" i="2"/>
  <c r="V23" i="2" s="1"/>
  <c r="BD42" i="2"/>
  <c r="BH42" i="2" s="1"/>
  <c r="BD41" i="2"/>
  <c r="BH41" i="2" s="1"/>
  <c r="BD40" i="2"/>
  <c r="BH40" i="2" s="1"/>
  <c r="BD39" i="2"/>
  <c r="BD38" i="2"/>
  <c r="BH38" i="2" s="1"/>
  <c r="BD37" i="2"/>
  <c r="BH37" i="2" s="1"/>
  <c r="BD36" i="2"/>
  <c r="BH36" i="2" s="1"/>
  <c r="BD35" i="2"/>
  <c r="BD34" i="2"/>
  <c r="BH34" i="2" s="1"/>
  <c r="BD28" i="2"/>
  <c r="BH28" i="2" s="1"/>
  <c r="AL42" i="2"/>
  <c r="AL41" i="2"/>
  <c r="AL40" i="2"/>
  <c r="AL39" i="2"/>
  <c r="AL38" i="2"/>
  <c r="AL37" i="2"/>
  <c r="AL36" i="2"/>
  <c r="AL35" i="2"/>
  <c r="AL34" i="2"/>
  <c r="AL33" i="2"/>
  <c r="AL32" i="2"/>
  <c r="AD42" i="2"/>
  <c r="AD41" i="2"/>
  <c r="AD40" i="2"/>
  <c r="AD39" i="2"/>
  <c r="AD38" i="2"/>
  <c r="AD37" i="2"/>
  <c r="AD36" i="2"/>
  <c r="AD35" i="2"/>
  <c r="AD34" i="2"/>
  <c r="AD33" i="2"/>
  <c r="AD32" i="2"/>
  <c r="AD31" i="2"/>
  <c r="AD30" i="2"/>
  <c r="AD29" i="2"/>
  <c r="AD28" i="2"/>
  <c r="AD27" i="2"/>
  <c r="AD26" i="2"/>
  <c r="AD25" i="2"/>
  <c r="AD24" i="2"/>
  <c r="AD23" i="2"/>
  <c r="AH42" i="2"/>
  <c r="AH41" i="2"/>
  <c r="AH40" i="2"/>
  <c r="AH39" i="2"/>
  <c r="AH38" i="2"/>
  <c r="AH37" i="2"/>
  <c r="AH36" i="2"/>
  <c r="AH35" i="2"/>
  <c r="AH34" i="2"/>
  <c r="AH33" i="2"/>
  <c r="AH32" i="2"/>
  <c r="AH31" i="2"/>
  <c r="AH30" i="2"/>
  <c r="AH29" i="2"/>
  <c r="AH28" i="2"/>
  <c r="AH27" i="2"/>
  <c r="AH26" i="2"/>
  <c r="AH25" i="2"/>
  <c r="AH24" i="2"/>
  <c r="AH23" i="2"/>
  <c r="M22" i="2"/>
  <c r="V22" i="2" s="1"/>
  <c r="M21" i="2"/>
  <c r="V21" i="2" s="1"/>
  <c r="M20" i="2"/>
  <c r="V20" i="2" s="1"/>
  <c r="M19" i="2"/>
  <c r="V19" i="2" s="1"/>
  <c r="M18" i="2"/>
  <c r="V18" i="2" s="1"/>
  <c r="M17" i="2"/>
  <c r="V17" i="2" s="1"/>
  <c r="M16" i="2"/>
  <c r="V16" i="2" s="1"/>
  <c r="M15" i="2"/>
  <c r="V15" i="2" s="1"/>
  <c r="M14" i="2"/>
  <c r="V14" i="2" s="1"/>
  <c r="M13" i="2"/>
  <c r="V13" i="2" s="1"/>
  <c r="M12" i="2"/>
  <c r="V12" i="2" s="1"/>
  <c r="M11" i="2"/>
  <c r="V11" i="2" s="1"/>
  <c r="M10" i="2"/>
  <c r="V10" i="2" s="1"/>
  <c r="M9" i="2"/>
  <c r="V9" i="2" s="1"/>
  <c r="M8" i="2"/>
  <c r="M7" i="2"/>
  <c r="M6" i="2"/>
  <c r="M5" i="2"/>
  <c r="M4" i="2"/>
  <c r="M3" i="2"/>
  <c r="I8" i="2"/>
  <c r="I7" i="2"/>
  <c r="I6" i="2"/>
  <c r="I5" i="2"/>
  <c r="I4" i="2"/>
  <c r="I3" i="2"/>
  <c r="Z42" i="2"/>
  <c r="Z41" i="2"/>
  <c r="Z40" i="2"/>
  <c r="Z39" i="2"/>
  <c r="Z38" i="2"/>
  <c r="Z37" i="2"/>
  <c r="Z36" i="2"/>
  <c r="Z35" i="2"/>
  <c r="Z34" i="2"/>
  <c r="Z33" i="2"/>
  <c r="Z32" i="2"/>
  <c r="Z31" i="2"/>
  <c r="AQ31" i="2" s="1"/>
  <c r="Z30" i="2"/>
  <c r="Z29" i="2"/>
  <c r="Z28" i="2"/>
  <c r="Z27" i="2"/>
  <c r="AQ27" i="2" s="1"/>
  <c r="Z26" i="2"/>
  <c r="Z25" i="2"/>
  <c r="Z24" i="2"/>
  <c r="Z23" i="2"/>
  <c r="AQ23" i="2" s="1"/>
  <c r="Z22" i="2"/>
  <c r="AQ22" i="2" s="1"/>
  <c r="Z21" i="2"/>
  <c r="AQ21" i="2" s="1"/>
  <c r="Z20" i="2"/>
  <c r="AQ20" i="2" s="1"/>
  <c r="Z19" i="2"/>
  <c r="AQ19" i="2" s="1"/>
  <c r="Z18" i="2"/>
  <c r="AQ18" i="2" s="1"/>
  <c r="Z17" i="2"/>
  <c r="AQ17" i="2" s="1"/>
  <c r="Z16" i="2"/>
  <c r="AQ16" i="2" s="1"/>
  <c r="Z15" i="2"/>
  <c r="AQ15" i="2" s="1"/>
  <c r="Z14" i="2"/>
  <c r="AQ14" i="2" s="1"/>
  <c r="Z13" i="2"/>
  <c r="AQ13" i="2" s="1"/>
  <c r="Z12" i="2"/>
  <c r="AQ12" i="2" s="1"/>
  <c r="Z11" i="2"/>
  <c r="AQ11" i="2" s="1"/>
  <c r="Z10" i="2"/>
  <c r="AQ10" i="2" s="1"/>
  <c r="Z9" i="2"/>
  <c r="AQ9" i="2" s="1"/>
  <c r="Z8" i="2"/>
  <c r="Z7" i="2"/>
  <c r="Z6" i="2"/>
  <c r="AQ6" i="2" s="1"/>
  <c r="Z5" i="2"/>
  <c r="Z4" i="2"/>
  <c r="Z3" i="2"/>
  <c r="V22" i="1"/>
  <c r="V32" i="1"/>
  <c r="W32" i="1" s="1"/>
  <c r="V41" i="1"/>
  <c r="W41" i="1"/>
  <c r="R40" i="1"/>
  <c r="AR40" i="1" s="1"/>
  <c r="R35" i="1"/>
  <c r="AR35" i="1" s="1"/>
  <c r="R31" i="1"/>
  <c r="AR31" i="1" s="1"/>
  <c r="R30" i="1"/>
  <c r="AR30" i="1" s="1"/>
  <c r="R22" i="1"/>
  <c r="AR22" i="1" s="1"/>
  <c r="Q41" i="1"/>
  <c r="Q40" i="1"/>
  <c r="Q39" i="1"/>
  <c r="W39" i="1" s="1"/>
  <c r="Q38" i="1"/>
  <c r="Q37" i="1"/>
  <c r="W37" i="1" s="1"/>
  <c r="Q36" i="1"/>
  <c r="Q35" i="1"/>
  <c r="Q34" i="1"/>
  <c r="Q33" i="1"/>
  <c r="Q32" i="1"/>
  <c r="Q31" i="1"/>
  <c r="Q30" i="1"/>
  <c r="Q29" i="1"/>
  <c r="Q28" i="1"/>
  <c r="Q27" i="1"/>
  <c r="Q26" i="1"/>
  <c r="Q25" i="1"/>
  <c r="Q24" i="1"/>
  <c r="Q23" i="1"/>
  <c r="Q22" i="1"/>
  <c r="M22" i="1"/>
  <c r="M28" i="1"/>
  <c r="M29" i="1"/>
  <c r="M30" i="1"/>
  <c r="M31" i="1"/>
  <c r="M32" i="1"/>
  <c r="M33" i="1"/>
  <c r="M34" i="1"/>
  <c r="M35" i="1"/>
  <c r="M36" i="1"/>
  <c r="M37" i="1"/>
  <c r="M38" i="1"/>
  <c r="M39" i="1"/>
  <c r="M40" i="1"/>
  <c r="M41" i="1"/>
  <c r="L27" i="1"/>
  <c r="K27" i="1"/>
  <c r="J27" i="1"/>
  <c r="M27" i="1" s="1"/>
  <c r="R27" i="1" s="1"/>
  <c r="AR27" i="1" s="1"/>
  <c r="L26" i="1"/>
  <c r="K26" i="1"/>
  <c r="J26" i="1"/>
  <c r="M26" i="1" s="1"/>
  <c r="R26" i="1" s="1"/>
  <c r="AR26" i="1" s="1"/>
  <c r="L25" i="1"/>
  <c r="K25" i="1"/>
  <c r="M25" i="1" s="1"/>
  <c r="J25" i="1"/>
  <c r="L24" i="1"/>
  <c r="K24" i="1"/>
  <c r="J24" i="1"/>
  <c r="M24" i="1" s="1"/>
  <c r="L23" i="1"/>
  <c r="K23" i="1"/>
  <c r="J23" i="1"/>
  <c r="M23" i="1" s="1"/>
  <c r="R23" i="1" s="1"/>
  <c r="AR23" i="1" s="1"/>
  <c r="I21" i="1"/>
  <c r="I22" i="1"/>
  <c r="I23" i="1"/>
  <c r="I24" i="1"/>
  <c r="I25" i="1"/>
  <c r="I26" i="1"/>
  <c r="I27" i="1"/>
  <c r="I28" i="1"/>
  <c r="I29" i="1"/>
  <c r="I30" i="1"/>
  <c r="I31" i="1"/>
  <c r="I32" i="1"/>
  <c r="I33" i="1"/>
  <c r="I34" i="1"/>
  <c r="I35" i="1"/>
  <c r="I36" i="1"/>
  <c r="I37" i="1"/>
  <c r="I38" i="1"/>
  <c r="I39" i="1"/>
  <c r="I40" i="1"/>
  <c r="I41" i="1"/>
  <c r="E22" i="1"/>
  <c r="E23" i="1"/>
  <c r="E24" i="1"/>
  <c r="E25" i="1"/>
  <c r="E26" i="1"/>
  <c r="E27" i="1"/>
  <c r="E28" i="1"/>
  <c r="R28" i="1" s="1"/>
  <c r="AR28" i="1" s="1"/>
  <c r="E29" i="1"/>
  <c r="E30" i="1"/>
  <c r="E31" i="1"/>
  <c r="E32" i="1"/>
  <c r="E33" i="1"/>
  <c r="R33" i="1" s="1"/>
  <c r="AR33" i="1" s="1"/>
  <c r="E34" i="1"/>
  <c r="E35" i="1"/>
  <c r="E36" i="1"/>
  <c r="E37" i="1"/>
  <c r="R37" i="1" s="1"/>
  <c r="AR37" i="1" s="1"/>
  <c r="E38" i="1"/>
  <c r="E39" i="1"/>
  <c r="E40" i="1"/>
  <c r="E41" i="1"/>
  <c r="Q6" i="1"/>
  <c r="R6" i="1" s="1"/>
  <c r="AR6" i="1" s="1"/>
  <c r="Q10" i="1"/>
  <c r="R10" i="1" s="1"/>
  <c r="AR10" i="1" s="1"/>
  <c r="Q14" i="1"/>
  <c r="R14" i="1" s="1"/>
  <c r="AR14" i="1" s="1"/>
  <c r="Q18" i="1"/>
  <c r="R18" i="1" s="1"/>
  <c r="AR18" i="1" s="1"/>
  <c r="Q2" i="1"/>
  <c r="R2" i="1" s="1"/>
  <c r="AR2" i="1" s="1"/>
  <c r="P20" i="1"/>
  <c r="Q20" i="1" s="1"/>
  <c r="R20" i="1" s="1"/>
  <c r="AR20" i="1" s="1"/>
  <c r="P19" i="1"/>
  <c r="Q19" i="1" s="1"/>
  <c r="R19" i="1" s="1"/>
  <c r="AR19" i="1" s="1"/>
  <c r="P18" i="1"/>
  <c r="P17" i="1"/>
  <c r="Q17" i="1" s="1"/>
  <c r="R17" i="1" s="1"/>
  <c r="AR17" i="1" s="1"/>
  <c r="P16" i="1"/>
  <c r="Q16" i="1" s="1"/>
  <c r="R16" i="1" s="1"/>
  <c r="AR16" i="1" s="1"/>
  <c r="P15" i="1"/>
  <c r="Q15" i="1" s="1"/>
  <c r="R15" i="1" s="1"/>
  <c r="AR15" i="1" s="1"/>
  <c r="P14" i="1"/>
  <c r="P13" i="1"/>
  <c r="Q13" i="1" s="1"/>
  <c r="R13" i="1" s="1"/>
  <c r="AR13" i="1" s="1"/>
  <c r="P12" i="1"/>
  <c r="Q12" i="1" s="1"/>
  <c r="R12" i="1" s="1"/>
  <c r="AR12" i="1" s="1"/>
  <c r="P11" i="1"/>
  <c r="Q11" i="1" s="1"/>
  <c r="R11" i="1" s="1"/>
  <c r="AR11" i="1" s="1"/>
  <c r="P10" i="1"/>
  <c r="P9" i="1"/>
  <c r="Q9" i="1" s="1"/>
  <c r="R9" i="1" s="1"/>
  <c r="AR9" i="1" s="1"/>
  <c r="P8" i="1"/>
  <c r="Q8" i="1" s="1"/>
  <c r="R8" i="1" s="1"/>
  <c r="AR8" i="1" s="1"/>
  <c r="P7" i="1"/>
  <c r="Q7" i="1" s="1"/>
  <c r="R7" i="1" s="1"/>
  <c r="AR7" i="1" s="1"/>
  <c r="P6" i="1"/>
  <c r="P5" i="1"/>
  <c r="Q5" i="1" s="1"/>
  <c r="R5" i="1" s="1"/>
  <c r="AR5" i="1" s="1"/>
  <c r="P4" i="1"/>
  <c r="Q4" i="1" s="1"/>
  <c r="R4" i="1" s="1"/>
  <c r="AR4" i="1" s="1"/>
  <c r="P3" i="1"/>
  <c r="Q3" i="1" s="1"/>
  <c r="R3" i="1" s="1"/>
  <c r="AR3" i="1" s="1"/>
  <c r="P2" i="1"/>
  <c r="AQ24" i="2" l="1"/>
  <c r="AQ32" i="2"/>
  <c r="AQ36" i="2"/>
  <c r="AQ40" i="2"/>
  <c r="AQ28" i="2"/>
  <c r="BJ9" i="1"/>
  <c r="BJ17" i="1"/>
  <c r="BJ6" i="1"/>
  <c r="BJ40" i="1"/>
  <c r="BJ37" i="1"/>
  <c r="AW37" i="1"/>
  <c r="BK37" i="1" s="1"/>
  <c r="BJ7" i="1"/>
  <c r="I15" i="3"/>
  <c r="BJ15" i="1"/>
  <c r="BJ19" i="1"/>
  <c r="BJ14" i="1"/>
  <c r="BJ28" i="1"/>
  <c r="R24" i="1"/>
  <c r="AR24" i="1" s="1"/>
  <c r="K23" i="3"/>
  <c r="BJ23" i="1"/>
  <c r="BJ27" i="1"/>
  <c r="I31" i="3"/>
  <c r="BJ31" i="1"/>
  <c r="BJ5" i="1"/>
  <c r="K13" i="3"/>
  <c r="I13" i="3"/>
  <c r="BJ13" i="1"/>
  <c r="BJ2" i="1"/>
  <c r="K22" i="3"/>
  <c r="I22" i="3"/>
  <c r="AW22" i="1"/>
  <c r="BK22" i="1" s="1"/>
  <c r="BJ22" i="1"/>
  <c r="BJ18" i="1"/>
  <c r="BJ33" i="1"/>
  <c r="BJ30" i="1"/>
  <c r="BJ3" i="1"/>
  <c r="BJ11" i="1"/>
  <c r="BJ4" i="1"/>
  <c r="BJ8" i="1"/>
  <c r="BJ12" i="1"/>
  <c r="BJ16" i="1"/>
  <c r="BJ20" i="1"/>
  <c r="BJ10" i="1"/>
  <c r="BJ26" i="1"/>
  <c r="BJ35" i="1"/>
  <c r="B39" i="3"/>
  <c r="C39" i="3"/>
  <c r="C27" i="3"/>
  <c r="B27" i="3"/>
  <c r="B23" i="3"/>
  <c r="C23" i="3"/>
  <c r="R39" i="1"/>
  <c r="AR39" i="1" s="1"/>
  <c r="E39" i="3"/>
  <c r="D39" i="3"/>
  <c r="E35" i="3"/>
  <c r="D35" i="3"/>
  <c r="E31" i="3"/>
  <c r="D31" i="3"/>
  <c r="E27" i="3"/>
  <c r="D27" i="3"/>
  <c r="E23" i="3"/>
  <c r="D23" i="3"/>
  <c r="AQ25" i="2"/>
  <c r="AQ29" i="2"/>
  <c r="AV29" i="2" s="1"/>
  <c r="BI29" i="2" s="1"/>
  <c r="BW29" i="2" s="1"/>
  <c r="AQ37" i="2"/>
  <c r="AV37" i="2" s="1"/>
  <c r="BI37" i="2" s="1"/>
  <c r="BW37" i="2" s="1"/>
  <c r="BX37" i="2" s="1"/>
  <c r="B41" i="3"/>
  <c r="C41" i="3"/>
  <c r="B37" i="3"/>
  <c r="C37" i="3"/>
  <c r="B33" i="3"/>
  <c r="C33" i="3"/>
  <c r="B29" i="3"/>
  <c r="C29" i="3"/>
  <c r="C25" i="3"/>
  <c r="B25" i="3"/>
  <c r="D41" i="3"/>
  <c r="E41" i="3"/>
  <c r="D37" i="3"/>
  <c r="E37" i="3"/>
  <c r="D33" i="3"/>
  <c r="E33" i="3"/>
  <c r="D29" i="3"/>
  <c r="E29" i="3"/>
  <c r="D25" i="3"/>
  <c r="E25" i="3"/>
  <c r="D21" i="3"/>
  <c r="E21" i="3"/>
  <c r="B40" i="3"/>
  <c r="C40" i="3"/>
  <c r="C36" i="3"/>
  <c r="B36" i="3"/>
  <c r="B32" i="3"/>
  <c r="C32" i="3"/>
  <c r="C28" i="3"/>
  <c r="B28" i="3"/>
  <c r="B24" i="3"/>
  <c r="C24" i="3"/>
  <c r="E40" i="3"/>
  <c r="D40" i="3"/>
  <c r="E36" i="3"/>
  <c r="D36" i="3"/>
  <c r="R32" i="1"/>
  <c r="AR32" i="1" s="1"/>
  <c r="E32" i="3"/>
  <c r="D32" i="3"/>
  <c r="D28" i="3"/>
  <c r="E28" i="3"/>
  <c r="E24" i="3"/>
  <c r="D24" i="3"/>
  <c r="R36" i="1"/>
  <c r="AR36" i="1" s="1"/>
  <c r="R41" i="1"/>
  <c r="AR41" i="1" s="1"/>
  <c r="W22" i="1"/>
  <c r="V36" i="2"/>
  <c r="C35" i="3"/>
  <c r="B35" i="3"/>
  <c r="C31" i="3"/>
  <c r="B31" i="3"/>
  <c r="B38" i="3"/>
  <c r="C38" i="3"/>
  <c r="C34" i="3"/>
  <c r="B34" i="3"/>
  <c r="C30" i="3"/>
  <c r="B30" i="3"/>
  <c r="C26" i="3"/>
  <c r="B26" i="3"/>
  <c r="B22" i="3"/>
  <c r="C22" i="3"/>
  <c r="E38" i="3"/>
  <c r="D38" i="3"/>
  <c r="D34" i="3"/>
  <c r="E34" i="3"/>
  <c r="E30" i="3"/>
  <c r="D30" i="3"/>
  <c r="D26" i="3"/>
  <c r="E26" i="3"/>
  <c r="E22" i="3"/>
  <c r="D22" i="3"/>
  <c r="R25" i="1"/>
  <c r="AR25" i="1" s="1"/>
  <c r="R29" i="1"/>
  <c r="AR29" i="1" s="1"/>
  <c r="R34" i="1"/>
  <c r="AR34" i="1" s="1"/>
  <c r="R38" i="1"/>
  <c r="AR38" i="1" s="1"/>
  <c r="AQ26" i="2"/>
  <c r="AV26" i="2" s="1"/>
  <c r="BI26" i="2" s="1"/>
  <c r="BW26" i="2" s="1"/>
  <c r="BX26" i="2" s="1"/>
  <c r="AQ30" i="2"/>
  <c r="AQ34" i="2"/>
  <c r="AQ42" i="2"/>
  <c r="V6" i="2"/>
  <c r="AQ41" i="2"/>
  <c r="AV41" i="2" s="1"/>
  <c r="BI41" i="2" s="1"/>
  <c r="BW41" i="2" s="1"/>
  <c r="AV16" i="2"/>
  <c r="BI16" i="2" s="1"/>
  <c r="BW16" i="2" s="1"/>
  <c r="BX16" i="2" s="1"/>
  <c r="AV24" i="2"/>
  <c r="BI24" i="2" s="1"/>
  <c r="BW24" i="2" s="1"/>
  <c r="BX24" i="2" s="1"/>
  <c r="AV36" i="2"/>
  <c r="BI36" i="2" s="1"/>
  <c r="BW36" i="2" s="1"/>
  <c r="BX36" i="2" s="1"/>
  <c r="AV9" i="2"/>
  <c r="BI9" i="2" s="1"/>
  <c r="BW9" i="2" s="1"/>
  <c r="BX9" i="2" s="1"/>
  <c r="AV13" i="2"/>
  <c r="BI13" i="2" s="1"/>
  <c r="BW13" i="2" s="1"/>
  <c r="BX13" i="2" s="1"/>
  <c r="AV17" i="2"/>
  <c r="BI17" i="2" s="1"/>
  <c r="BW17" i="2" s="1"/>
  <c r="BX17" i="2" s="1"/>
  <c r="AV21" i="2"/>
  <c r="BI21" i="2" s="1"/>
  <c r="BW21" i="2" s="1"/>
  <c r="BX21" i="2" s="1"/>
  <c r="AV25" i="2"/>
  <c r="BI25" i="2" s="1"/>
  <c r="BW25" i="2" s="1"/>
  <c r="BX25" i="2" s="1"/>
  <c r="AV32" i="2"/>
  <c r="BI32" i="2" s="1"/>
  <c r="BW32" i="2" s="1"/>
  <c r="BX32" i="2" s="1"/>
  <c r="AV6" i="2"/>
  <c r="BI6" i="2" s="1"/>
  <c r="BW6" i="2" s="1"/>
  <c r="BX6" i="2" s="1"/>
  <c r="AV14" i="2"/>
  <c r="BI14" i="2" s="1"/>
  <c r="BW14" i="2" s="1"/>
  <c r="BX14" i="2" s="1"/>
  <c r="AV22" i="2"/>
  <c r="BI22" i="2" s="1"/>
  <c r="BW22" i="2" s="1"/>
  <c r="BX22" i="2" s="1"/>
  <c r="AV30" i="2"/>
  <c r="BI30" i="2" s="1"/>
  <c r="BW30" i="2" s="1"/>
  <c r="BX30" i="2" s="1"/>
  <c r="AV34" i="2"/>
  <c r="BI34" i="2" s="1"/>
  <c r="BW34" i="2" s="1"/>
  <c r="BX34" i="2" s="1"/>
  <c r="AV20" i="2"/>
  <c r="BI20" i="2" s="1"/>
  <c r="BW20" i="2" s="1"/>
  <c r="BX20" i="2" s="1"/>
  <c r="AV28" i="2"/>
  <c r="BI28" i="2" s="1"/>
  <c r="BW28" i="2" s="1"/>
  <c r="BX28" i="2" s="1"/>
  <c r="AV40" i="2"/>
  <c r="BI40" i="2" s="1"/>
  <c r="BW40" i="2" s="1"/>
  <c r="BX40" i="2" s="1"/>
  <c r="AV10" i="2"/>
  <c r="BI10" i="2" s="1"/>
  <c r="BW10" i="2" s="1"/>
  <c r="BX10" i="2" s="1"/>
  <c r="AV18" i="2"/>
  <c r="BI18" i="2" s="1"/>
  <c r="BW18" i="2" s="1"/>
  <c r="BX18" i="2" s="1"/>
  <c r="AV15" i="2"/>
  <c r="BI15" i="2" s="1"/>
  <c r="BW15" i="2" s="1"/>
  <c r="BX15" i="2" s="1"/>
  <c r="AV19" i="2"/>
  <c r="BI19" i="2" s="1"/>
  <c r="BW19" i="2" s="1"/>
  <c r="BX19" i="2" s="1"/>
  <c r="AV23" i="2"/>
  <c r="BI23" i="2" s="1"/>
  <c r="BW23" i="2" s="1"/>
  <c r="BX23" i="2" s="1"/>
  <c r="AV27" i="2"/>
  <c r="BI27" i="2" s="1"/>
  <c r="BW27" i="2" s="1"/>
  <c r="BX27" i="2" s="1"/>
  <c r="AV31" i="2"/>
  <c r="BI31" i="2" s="1"/>
  <c r="BW31" i="2" s="1"/>
  <c r="BX31" i="2" s="1"/>
  <c r="AQ35" i="2"/>
  <c r="BH35" i="2"/>
  <c r="AV12" i="2"/>
  <c r="BI12" i="2" s="1"/>
  <c r="BW12" i="2" s="1"/>
  <c r="BX12" i="2" s="1"/>
  <c r="AQ3" i="2"/>
  <c r="V3" i="2"/>
  <c r="AQ7" i="2"/>
  <c r="V7" i="2"/>
  <c r="AQ4" i="2"/>
  <c r="V4" i="2"/>
  <c r="AQ8" i="2"/>
  <c r="V8" i="2"/>
  <c r="AQ38" i="2"/>
  <c r="AV11" i="2"/>
  <c r="BI11" i="2" s="1"/>
  <c r="BW11" i="2" s="1"/>
  <c r="BX11" i="2" s="1"/>
  <c r="AQ39" i="2"/>
  <c r="BH39" i="2"/>
  <c r="AQ33" i="2"/>
  <c r="AQ5" i="2"/>
  <c r="V5" i="2"/>
  <c r="BX29" i="2" l="1"/>
  <c r="H28" i="3"/>
  <c r="J28" i="3" s="1"/>
  <c r="I28" i="3"/>
  <c r="K35" i="3"/>
  <c r="K16" i="3"/>
  <c r="H15" i="3"/>
  <c r="J15" i="3" s="1"/>
  <c r="H9" i="3"/>
  <c r="J9" i="3" s="1"/>
  <c r="K10" i="3"/>
  <c r="K18" i="3"/>
  <c r="K26" i="3"/>
  <c r="K20" i="3"/>
  <c r="K12" i="3"/>
  <c r="K11" i="3"/>
  <c r="K33" i="3"/>
  <c r="I23" i="3"/>
  <c r="H19" i="3"/>
  <c r="J19" i="3" s="1"/>
  <c r="BX41" i="2"/>
  <c r="K40" i="3"/>
  <c r="I40" i="3"/>
  <c r="H40" i="3"/>
  <c r="J40" i="3" s="1"/>
  <c r="K29" i="3"/>
  <c r="H29" i="3"/>
  <c r="J29" i="3" s="1"/>
  <c r="I29" i="3"/>
  <c r="BJ29" i="1"/>
  <c r="BJ41" i="1"/>
  <c r="AW41" i="1"/>
  <c r="BK41" i="1" s="1"/>
  <c r="I5" i="3"/>
  <c r="H27" i="3"/>
  <c r="J27" i="3" s="1"/>
  <c r="K25" i="3"/>
  <c r="H25" i="3"/>
  <c r="J25" i="3" s="1"/>
  <c r="I25" i="3"/>
  <c r="BJ25" i="1"/>
  <c r="K31" i="3"/>
  <c r="H14" i="3"/>
  <c r="J14" i="3" s="1"/>
  <c r="I19" i="3"/>
  <c r="BJ38" i="1"/>
  <c r="K39" i="3"/>
  <c r="I39" i="3"/>
  <c r="H39" i="3"/>
  <c r="J39" i="3" s="1"/>
  <c r="BJ39" i="1"/>
  <c r="AW39" i="1"/>
  <c r="BK39" i="1" s="1"/>
  <c r="I35" i="3"/>
  <c r="I26" i="3"/>
  <c r="I10" i="3"/>
  <c r="I20" i="3"/>
  <c r="I16" i="3"/>
  <c r="I12" i="3"/>
  <c r="I8" i="3"/>
  <c r="I11" i="3"/>
  <c r="H30" i="3"/>
  <c r="J30" i="3" s="1"/>
  <c r="I33" i="3"/>
  <c r="I18" i="3"/>
  <c r="K24" i="3"/>
  <c r="I24" i="3"/>
  <c r="H24" i="3"/>
  <c r="J24" i="3" s="1"/>
  <c r="BJ24" i="1"/>
  <c r="K28" i="3"/>
  <c r="K14" i="3"/>
  <c r="K19" i="3"/>
  <c r="K15" i="3"/>
  <c r="I17" i="3"/>
  <c r="I9" i="3"/>
  <c r="AW32" i="1"/>
  <c r="BK32" i="1" s="1"/>
  <c r="BJ32" i="1"/>
  <c r="K8" i="3"/>
  <c r="K30" i="3"/>
  <c r="I14" i="3"/>
  <c r="K36" i="3"/>
  <c r="I36" i="3"/>
  <c r="H36" i="3"/>
  <c r="J36" i="3" s="1"/>
  <c r="BJ36" i="1"/>
  <c r="K5" i="3"/>
  <c r="K27" i="3"/>
  <c r="H17" i="3"/>
  <c r="J17" i="3" s="1"/>
  <c r="BJ34" i="1"/>
  <c r="H35" i="3"/>
  <c r="J35" i="3" s="1"/>
  <c r="H26" i="3"/>
  <c r="J26" i="3" s="1"/>
  <c r="H10" i="3"/>
  <c r="J10" i="3" s="1"/>
  <c r="H20" i="3"/>
  <c r="J20" i="3" s="1"/>
  <c r="H16" i="3"/>
  <c r="J16" i="3" s="1"/>
  <c r="H12" i="3"/>
  <c r="J12" i="3" s="1"/>
  <c r="H8" i="3"/>
  <c r="J8" i="3" s="1"/>
  <c r="H11" i="3"/>
  <c r="J11" i="3" s="1"/>
  <c r="I30" i="3"/>
  <c r="H33" i="3"/>
  <c r="J33" i="3" s="1"/>
  <c r="H18" i="3"/>
  <c r="J18" i="3" s="1"/>
  <c r="H22" i="3"/>
  <c r="J22" i="3" s="1"/>
  <c r="H13" i="3"/>
  <c r="J13" i="3" s="1"/>
  <c r="H5" i="3"/>
  <c r="J5" i="3" s="1"/>
  <c r="H31" i="3"/>
  <c r="J31" i="3" s="1"/>
  <c r="I27" i="3"/>
  <c r="H23" i="3"/>
  <c r="J23" i="3" s="1"/>
  <c r="K17" i="3"/>
  <c r="K9" i="3"/>
  <c r="AV42" i="2"/>
  <c r="BI42" i="2" s="1"/>
  <c r="BW42" i="2" s="1"/>
  <c r="BX42" i="2" s="1"/>
  <c r="AV35" i="2"/>
  <c r="BI35" i="2" s="1"/>
  <c r="BW35" i="2" s="1"/>
  <c r="BX35" i="2" s="1"/>
  <c r="AV38" i="2"/>
  <c r="BI38" i="2" s="1"/>
  <c r="BW38" i="2" s="1"/>
  <c r="AV4" i="2"/>
  <c r="BI4" i="2" s="1"/>
  <c r="BW4" i="2" s="1"/>
  <c r="AV7" i="2"/>
  <c r="BI7" i="2" s="1"/>
  <c r="BW7" i="2" s="1"/>
  <c r="AV33" i="2"/>
  <c r="BI33" i="2" s="1"/>
  <c r="BW33" i="2" s="1"/>
  <c r="BX33" i="2" s="1"/>
  <c r="AV5" i="2"/>
  <c r="BI5" i="2" s="1"/>
  <c r="BW5" i="2" s="1"/>
  <c r="AV39" i="2"/>
  <c r="BI39" i="2" s="1"/>
  <c r="BW39" i="2" s="1"/>
  <c r="BX39" i="2" s="1"/>
  <c r="AV8" i="2"/>
  <c r="BI8" i="2" s="1"/>
  <c r="BW8" i="2" s="1"/>
  <c r="AV3" i="2"/>
  <c r="BI3" i="2" s="1"/>
  <c r="BW3" i="2" s="1"/>
  <c r="H128" i="3"/>
  <c r="J128" i="3" s="1"/>
  <c r="H133" i="3"/>
  <c r="J133" i="3" s="1"/>
  <c r="H137" i="3"/>
  <c r="H121" i="3"/>
  <c r="K38" i="3" l="1"/>
  <c r="I38" i="3"/>
  <c r="BX3" i="2"/>
  <c r="I2" i="3"/>
  <c r="K2" i="3"/>
  <c r="H2" i="3"/>
  <c r="J2" i="3" s="1"/>
  <c r="BX8" i="2"/>
  <c r="K7" i="3"/>
  <c r="H7" i="3"/>
  <c r="I7" i="3"/>
  <c r="I41" i="3"/>
  <c r="BX4" i="2"/>
  <c r="H3" i="3"/>
  <c r="J3" i="3" s="1"/>
  <c r="I3" i="3"/>
  <c r="K3" i="3"/>
  <c r="I34" i="3"/>
  <c r="K32" i="3"/>
  <c r="H41" i="3"/>
  <c r="J41" i="3" s="1"/>
  <c r="K34" i="3"/>
  <c r="H32" i="3"/>
  <c r="J32" i="3" s="1"/>
  <c r="BX7" i="2"/>
  <c r="K6" i="3"/>
  <c r="H6" i="3"/>
  <c r="J6" i="3" s="1"/>
  <c r="I6" i="3"/>
  <c r="I32" i="3"/>
  <c r="BX5" i="2"/>
  <c r="H4" i="3"/>
  <c r="J4" i="3" s="1"/>
  <c r="I4" i="3"/>
  <c r="K4" i="3"/>
  <c r="BX38" i="2"/>
  <c r="K37" i="3"/>
  <c r="H37" i="3"/>
  <c r="J37" i="3" s="1"/>
  <c r="I37" i="3"/>
  <c r="H34" i="3"/>
  <c r="J34" i="3" s="1"/>
  <c r="H38" i="3"/>
  <c r="J38" i="3" s="1"/>
  <c r="K41" i="3"/>
  <c r="AU116" i="2"/>
  <c r="AP116" i="2"/>
  <c r="U116" i="2"/>
  <c r="M115" i="1"/>
  <c r="AV115" i="1"/>
  <c r="AM115" i="1"/>
  <c r="AQ115" i="1" s="1"/>
  <c r="AA115" i="1"/>
  <c r="I115" i="1"/>
  <c r="E115" i="1"/>
  <c r="BV115" i="2"/>
  <c r="AU115" i="2"/>
  <c r="AP115" i="2"/>
  <c r="U115" i="2"/>
  <c r="M114" i="1"/>
  <c r="AM114" i="1"/>
  <c r="AQ114" i="1" s="1"/>
  <c r="AV114" i="1"/>
  <c r="AA114" i="1"/>
  <c r="I114" i="1"/>
  <c r="E114" i="1"/>
  <c r="F114" i="3" l="1"/>
  <c r="BJ114" i="1"/>
  <c r="K115" i="3"/>
  <c r="BJ115" i="1"/>
  <c r="AV116" i="2"/>
  <c r="BI116" i="2"/>
  <c r="BW116" i="2" s="1"/>
  <c r="BX116" i="2" s="1"/>
  <c r="B115" i="3"/>
  <c r="AV115" i="2"/>
  <c r="D115" i="3"/>
  <c r="B114" i="3"/>
  <c r="D114" i="3"/>
  <c r="F115" i="3"/>
  <c r="R115" i="1"/>
  <c r="AR115" i="1" s="1"/>
  <c r="R114" i="1"/>
  <c r="AR114" i="1" s="1"/>
  <c r="AV113" i="1"/>
  <c r="AQ113" i="1"/>
  <c r="AM113" i="1"/>
  <c r="AU114" i="2"/>
  <c r="U114" i="2"/>
  <c r="AP114" i="2"/>
  <c r="R102" i="1"/>
  <c r="AQ112" i="1"/>
  <c r="AR112" i="1" s="1"/>
  <c r="AA113" i="1"/>
  <c r="M113" i="1"/>
  <c r="I113" i="1"/>
  <c r="E113" i="1"/>
  <c r="BM113" i="2"/>
  <c r="BR113" i="2" s="1"/>
  <c r="BW113" i="2" s="1"/>
  <c r="BX113" i="2" s="1"/>
  <c r="BV113" i="2"/>
  <c r="AV112" i="1"/>
  <c r="BJ113" i="1" l="1"/>
  <c r="K112" i="3"/>
  <c r="BJ112" i="1"/>
  <c r="B113" i="3"/>
  <c r="BI115" i="2"/>
  <c r="BW115" i="2" s="1"/>
  <c r="AV114" i="2"/>
  <c r="F113" i="3"/>
  <c r="R113" i="1"/>
  <c r="AR113" i="1"/>
  <c r="D113" i="3"/>
  <c r="BX115" i="2" l="1"/>
  <c r="K114" i="3"/>
  <c r="BI114" i="2"/>
  <c r="BW114" i="2" s="1"/>
  <c r="AU100" i="2"/>
  <c r="AU99" i="2"/>
  <c r="AA99" i="1"/>
  <c r="AA98" i="1"/>
  <c r="AQ99" i="1"/>
  <c r="AR99" i="1" s="1"/>
  <c r="AQ103" i="1"/>
  <c r="R99" i="1"/>
  <c r="R98" i="1"/>
  <c r="AE98" i="1"/>
  <c r="AQ98" i="1" s="1"/>
  <c r="BM100" i="2"/>
  <c r="BR100" i="2" s="1"/>
  <c r="BM99" i="2"/>
  <c r="BR99" i="2" s="1"/>
  <c r="AP100" i="2"/>
  <c r="D99" i="3" s="1"/>
  <c r="E99" i="3" s="1"/>
  <c r="AP99" i="2"/>
  <c r="D98" i="3" s="1"/>
  <c r="E98" i="3" s="1"/>
  <c r="U100" i="2"/>
  <c r="B99" i="3" s="1"/>
  <c r="C99" i="3" s="1"/>
  <c r="U99" i="2"/>
  <c r="B98" i="3" s="1"/>
  <c r="C98" i="3" s="1"/>
  <c r="H100" i="3"/>
  <c r="BX114" i="2" l="1"/>
  <c r="K113" i="3"/>
  <c r="F98" i="3"/>
  <c r="AR98" i="1"/>
  <c r="J100" i="3"/>
  <c r="F99" i="3"/>
  <c r="AV100" i="2"/>
  <c r="AV99" i="2"/>
  <c r="BI99" i="2" l="1"/>
  <c r="BW99" i="2" s="1"/>
  <c r="BX99" i="2" s="1"/>
  <c r="BI100" i="2"/>
  <c r="BW100" i="2" s="1"/>
  <c r="AA108" i="1"/>
  <c r="I108" i="1"/>
  <c r="E108" i="1"/>
  <c r="K99" i="3" l="1"/>
  <c r="BX100" i="2"/>
  <c r="AW108" i="1"/>
  <c r="C86" i="3" l="1"/>
  <c r="C87" i="3"/>
  <c r="W83" i="1"/>
  <c r="W88" i="1"/>
  <c r="Q87" i="1" l="1"/>
  <c r="W87" i="1" s="1"/>
  <c r="Q86" i="1"/>
  <c r="W86" i="1" s="1"/>
  <c r="BH80" i="2"/>
  <c r="AT80" i="2"/>
  <c r="AS80" i="2"/>
  <c r="AR80" i="2"/>
  <c r="U80" i="2"/>
  <c r="BI79" i="1"/>
  <c r="Z79" i="1"/>
  <c r="Y79" i="1"/>
  <c r="X79" i="1"/>
  <c r="Q78" i="1"/>
  <c r="W78" i="1" s="1"/>
  <c r="M79" i="1"/>
  <c r="E79" i="1"/>
  <c r="BH79" i="2"/>
  <c r="AT79" i="2"/>
  <c r="AS79" i="2"/>
  <c r="AR79" i="2"/>
  <c r="U79" i="2"/>
  <c r="BI78" i="1"/>
  <c r="Z78" i="1"/>
  <c r="Y78" i="1"/>
  <c r="X78" i="1"/>
  <c r="AA78" i="1" s="1"/>
  <c r="M78" i="1"/>
  <c r="E78" i="1"/>
  <c r="BU78" i="2"/>
  <c r="BT78" i="2"/>
  <c r="BS78" i="2"/>
  <c r="BO78" i="2"/>
  <c r="BL78" i="2"/>
  <c r="BK78" i="2"/>
  <c r="BJ78" i="2"/>
  <c r="BH78" i="2"/>
  <c r="AT78" i="2"/>
  <c r="AS78" i="2"/>
  <c r="AR78" i="2"/>
  <c r="U78" i="2"/>
  <c r="BH77" i="1"/>
  <c r="BI77" i="1" s="1"/>
  <c r="AU77" i="1"/>
  <c r="AT77" i="1"/>
  <c r="AS77" i="1"/>
  <c r="Z77" i="1"/>
  <c r="Y77" i="1"/>
  <c r="X77" i="1"/>
  <c r="M77" i="1"/>
  <c r="E77" i="1"/>
  <c r="BU76" i="2"/>
  <c r="BT76" i="2"/>
  <c r="BS76" i="2"/>
  <c r="BO76" i="2"/>
  <c r="AT76" i="2"/>
  <c r="AS76" i="2"/>
  <c r="AR76" i="2"/>
  <c r="U76" i="2"/>
  <c r="BD75" i="1"/>
  <c r="AY75" i="1"/>
  <c r="AU75" i="1"/>
  <c r="AT75" i="1"/>
  <c r="AS75" i="1"/>
  <c r="Z75" i="1"/>
  <c r="Y75" i="1"/>
  <c r="X75" i="1"/>
  <c r="M75" i="1"/>
  <c r="E75" i="1"/>
  <c r="B75" i="3" s="1"/>
  <c r="BL77" i="2"/>
  <c r="BK77" i="2"/>
  <c r="BJ77" i="2"/>
  <c r="BO77" i="2"/>
  <c r="BL71" i="2"/>
  <c r="BK71" i="2"/>
  <c r="BJ71" i="2"/>
  <c r="BO71" i="2"/>
  <c r="BL70" i="2"/>
  <c r="BK70" i="2"/>
  <c r="BJ70" i="2"/>
  <c r="BO70" i="2"/>
  <c r="BL69" i="2"/>
  <c r="BK69" i="2"/>
  <c r="BJ69" i="2"/>
  <c r="BO69" i="2"/>
  <c r="BL68" i="2"/>
  <c r="BK68" i="2"/>
  <c r="BJ68" i="2"/>
  <c r="BO68" i="2"/>
  <c r="BL67" i="2"/>
  <c r="BK67" i="2"/>
  <c r="BO67" i="2"/>
  <c r="BJ67" i="2"/>
  <c r="BL66" i="2"/>
  <c r="BK66" i="2"/>
  <c r="BO66" i="2"/>
  <c r="BJ66" i="2"/>
  <c r="BL65" i="2"/>
  <c r="BK65" i="2"/>
  <c r="BO65" i="2"/>
  <c r="BJ65" i="2"/>
  <c r="BL64" i="2"/>
  <c r="BK64" i="2"/>
  <c r="BJ64" i="2"/>
  <c r="BO64" i="2"/>
  <c r="BO63" i="2"/>
  <c r="BL63" i="2"/>
  <c r="BK63" i="2"/>
  <c r="BJ63" i="2"/>
  <c r="BO62" i="2"/>
  <c r="BO61" i="2"/>
  <c r="BO60" i="2"/>
  <c r="BO59" i="2"/>
  <c r="BR59" i="2" s="1"/>
  <c r="BL74" i="2"/>
  <c r="BK74" i="2"/>
  <c r="BJ74" i="2"/>
  <c r="BO74" i="2"/>
  <c r="BJ73" i="2"/>
  <c r="BJ72" i="2"/>
  <c r="BO75" i="2"/>
  <c r="AT75" i="2"/>
  <c r="AS75" i="2"/>
  <c r="AR75" i="2"/>
  <c r="U75" i="2"/>
  <c r="BD74" i="1"/>
  <c r="AY74" i="1"/>
  <c r="AU74" i="1"/>
  <c r="AT74" i="1"/>
  <c r="AS74" i="1"/>
  <c r="AV74" i="1" s="1"/>
  <c r="Z74" i="1"/>
  <c r="Y74" i="1"/>
  <c r="X74" i="1"/>
  <c r="M74" i="1"/>
  <c r="E74" i="1"/>
  <c r="B79" i="3" l="1"/>
  <c r="C79" i="3" s="1"/>
  <c r="B74" i="3"/>
  <c r="B78" i="3"/>
  <c r="C78" i="3" s="1"/>
  <c r="AV75" i="1"/>
  <c r="AV77" i="1"/>
  <c r="C74" i="3"/>
  <c r="C75" i="3"/>
  <c r="B77" i="3"/>
  <c r="C77" i="3" s="1"/>
  <c r="F102" i="3"/>
  <c r="F101" i="3"/>
  <c r="D102" i="3"/>
  <c r="E102" i="3" s="1"/>
  <c r="D101" i="3"/>
  <c r="E101" i="3" s="1"/>
  <c r="B102" i="3"/>
  <c r="C102" i="3" s="1"/>
  <c r="B101" i="3"/>
  <c r="C101" i="3" s="1"/>
  <c r="F96" i="3"/>
  <c r="F95" i="3"/>
  <c r="D96" i="3"/>
  <c r="E96" i="3" s="1"/>
  <c r="D95" i="3"/>
  <c r="E95" i="3" s="1"/>
  <c r="B96" i="3"/>
  <c r="C96" i="3" s="1"/>
  <c r="B95" i="3"/>
  <c r="C95" i="3" s="1"/>
  <c r="AV97" i="2"/>
  <c r="AV96" i="2"/>
  <c r="R96" i="1"/>
  <c r="AR96" i="1" s="1"/>
  <c r="R95" i="1"/>
  <c r="AR95" i="1" s="1"/>
  <c r="BV111" i="2"/>
  <c r="BV112" i="2"/>
  <c r="H111" i="3" s="1"/>
  <c r="BM112" i="2"/>
  <c r="BR112" i="2" s="1"/>
  <c r="BW112" i="2" s="1"/>
  <c r="BX112" i="2" s="1"/>
  <c r="BM111" i="2"/>
  <c r="BR111" i="2" s="1"/>
  <c r="BW111" i="2" s="1"/>
  <c r="BX111" i="2" s="1"/>
  <c r="AV110" i="1"/>
  <c r="AV111" i="1"/>
  <c r="AQ111" i="1"/>
  <c r="AR111" i="1" s="1"/>
  <c r="AQ110" i="1"/>
  <c r="AR110" i="1" s="1"/>
  <c r="BV108" i="2"/>
  <c r="BV109" i="2"/>
  <c r="H108" i="3" s="1"/>
  <c r="BM109" i="2"/>
  <c r="BR109" i="2" s="1"/>
  <c r="BW109" i="2" s="1"/>
  <c r="BX109" i="2" s="1"/>
  <c r="BM108" i="2"/>
  <c r="BR108" i="2" s="1"/>
  <c r="BW108" i="2" s="1"/>
  <c r="BX108" i="2" s="1"/>
  <c r="AV108" i="1"/>
  <c r="AV107" i="1"/>
  <c r="AQ108" i="1"/>
  <c r="AR108" i="1" s="1"/>
  <c r="AQ107" i="1"/>
  <c r="AR107" i="1" s="1"/>
  <c r="BV105" i="2"/>
  <c r="BV106" i="2"/>
  <c r="BM106" i="2"/>
  <c r="BR106" i="2" s="1"/>
  <c r="BW106" i="2" s="1"/>
  <c r="BX106" i="2" s="1"/>
  <c r="BM105" i="2"/>
  <c r="BR105" i="2" s="1"/>
  <c r="BW105" i="2" s="1"/>
  <c r="BX105" i="2" s="1"/>
  <c r="AV105" i="1"/>
  <c r="AV104" i="1"/>
  <c r="AQ105" i="1"/>
  <c r="AR105" i="1" s="1"/>
  <c r="AQ104" i="1"/>
  <c r="AR104" i="1" s="1"/>
  <c r="AV103" i="1"/>
  <c r="AR103" i="1"/>
  <c r="BV103" i="2"/>
  <c r="AV103" i="2"/>
  <c r="BI103" i="2" s="1"/>
  <c r="AV102" i="2"/>
  <c r="AR102" i="1"/>
  <c r="R101" i="1"/>
  <c r="AR101" i="1" s="1"/>
  <c r="BM104" i="2"/>
  <c r="BR104" i="2" s="1"/>
  <c r="BW104" i="2" s="1"/>
  <c r="BX104" i="2" s="1"/>
  <c r="BM103" i="2"/>
  <c r="BR103" i="2" s="1"/>
  <c r="H120" i="3"/>
  <c r="H119" i="3"/>
  <c r="H118" i="3"/>
  <c r="H117" i="3"/>
  <c r="H116" i="3"/>
  <c r="H115" i="3"/>
  <c r="H114" i="3"/>
  <c r="H113" i="3"/>
  <c r="H112" i="3"/>
  <c r="H109" i="3"/>
  <c r="H92" i="3"/>
  <c r="H91" i="3"/>
  <c r="BV91" i="2"/>
  <c r="BV90" i="2"/>
  <c r="AT86" i="2"/>
  <c r="AS86" i="2"/>
  <c r="AR86" i="2"/>
  <c r="U86" i="2"/>
  <c r="Z85" i="1"/>
  <c r="Y85" i="1"/>
  <c r="X85" i="1"/>
  <c r="Q85" i="1"/>
  <c r="W85" i="1" s="1"/>
  <c r="I84" i="2"/>
  <c r="E84" i="2"/>
  <c r="AT85" i="2"/>
  <c r="AS85" i="2"/>
  <c r="AR85" i="2"/>
  <c r="U85" i="2"/>
  <c r="Z84" i="1"/>
  <c r="Y84" i="1"/>
  <c r="X84" i="1"/>
  <c r="Q84" i="1"/>
  <c r="W84" i="1" s="1"/>
  <c r="K111" i="3" l="1"/>
  <c r="BJ111" i="1"/>
  <c r="K103" i="3"/>
  <c r="BJ103" i="1"/>
  <c r="K110" i="3"/>
  <c r="BJ110" i="1"/>
  <c r="BW103" i="2"/>
  <c r="BX103" i="2" s="1"/>
  <c r="K104" i="3"/>
  <c r="BJ104" i="1"/>
  <c r="K107" i="3"/>
  <c r="BJ107" i="1"/>
  <c r="K105" i="3"/>
  <c r="BJ105" i="1"/>
  <c r="K108" i="3"/>
  <c r="BJ108" i="1"/>
  <c r="BV104" i="2"/>
  <c r="H103" i="3" s="1"/>
  <c r="BI102" i="2"/>
  <c r="BW102" i="2" s="1"/>
  <c r="BX102" i="2" s="1"/>
  <c r="BI97" i="2"/>
  <c r="BW97" i="2" s="1"/>
  <c r="BX97" i="2" s="1"/>
  <c r="BI96" i="2"/>
  <c r="BW96" i="2" s="1"/>
  <c r="BX96" i="2" s="1"/>
  <c r="H104" i="3"/>
  <c r="J104" i="3" s="1"/>
  <c r="H110" i="3"/>
  <c r="H105" i="3"/>
  <c r="J105" i="3" s="1"/>
  <c r="J114" i="3"/>
  <c r="J118" i="3"/>
  <c r="J115" i="3"/>
  <c r="J112" i="3"/>
  <c r="J116" i="3"/>
  <c r="J120" i="3"/>
  <c r="J111" i="3"/>
  <c r="J106" i="3"/>
  <c r="J109" i="3"/>
  <c r="J119" i="3"/>
  <c r="J108" i="3"/>
  <c r="J92" i="3"/>
  <c r="J113" i="3"/>
  <c r="J117" i="3"/>
  <c r="J121" i="3"/>
  <c r="H107" i="3"/>
  <c r="J110" i="3" l="1"/>
  <c r="J107" i="3"/>
  <c r="J103" i="3"/>
  <c r="AP85" i="2"/>
  <c r="AP86" i="2"/>
  <c r="AP87" i="2"/>
  <c r="AP88" i="2"/>
  <c r="AP89" i="2"/>
  <c r="AP90" i="2"/>
  <c r="AP91" i="2"/>
  <c r="BU77" i="2"/>
  <c r="BV75" i="2"/>
  <c r="BV76" i="2"/>
  <c r="BV78" i="2"/>
  <c r="BV79" i="2"/>
  <c r="BV80" i="2"/>
  <c r="BT77" i="2"/>
  <c r="BS77" i="2"/>
  <c r="BM75" i="2"/>
  <c r="BM76" i="2"/>
  <c r="BR76" i="2" s="1"/>
  <c r="BM77" i="2"/>
  <c r="BR77" i="2" s="1"/>
  <c r="BM78" i="2"/>
  <c r="BR78" i="2" s="1"/>
  <c r="BM79" i="2"/>
  <c r="BM80" i="2"/>
  <c r="AU75" i="2"/>
  <c r="AU76" i="2"/>
  <c r="AU78" i="2"/>
  <c r="AU79" i="2"/>
  <c r="AV79" i="2" s="1"/>
  <c r="BI79" i="2" s="1"/>
  <c r="AU80" i="2"/>
  <c r="AT77" i="2"/>
  <c r="AS77" i="2"/>
  <c r="AR77" i="2"/>
  <c r="AP75" i="2"/>
  <c r="AP76" i="2"/>
  <c r="AP77" i="2"/>
  <c r="AP78" i="2"/>
  <c r="AP79" i="2"/>
  <c r="AP80" i="2"/>
  <c r="AH75" i="2"/>
  <c r="AH76" i="2"/>
  <c r="AH77" i="2"/>
  <c r="AH78" i="2"/>
  <c r="AH79" i="2"/>
  <c r="AH80" i="2"/>
  <c r="AD75" i="2"/>
  <c r="AD76" i="2"/>
  <c r="AD77" i="2"/>
  <c r="AD78" i="2"/>
  <c r="AD79" i="2"/>
  <c r="AD80" i="2"/>
  <c r="Z75" i="2"/>
  <c r="Z76" i="2"/>
  <c r="Z77" i="2"/>
  <c r="Z78" i="2"/>
  <c r="Z79" i="2"/>
  <c r="AQ79" i="2" s="1"/>
  <c r="Z80" i="2"/>
  <c r="AQ80" i="2" s="1"/>
  <c r="BD75" i="2"/>
  <c r="BD76" i="2"/>
  <c r="BD77" i="2"/>
  <c r="AZ75" i="2"/>
  <c r="AZ76" i="2"/>
  <c r="AZ77" i="2"/>
  <c r="U77" i="2"/>
  <c r="M75" i="2"/>
  <c r="M76" i="2"/>
  <c r="M77" i="2"/>
  <c r="M78" i="2"/>
  <c r="M79" i="2"/>
  <c r="M80" i="2"/>
  <c r="I75" i="2"/>
  <c r="I76" i="2"/>
  <c r="I77" i="2"/>
  <c r="I78" i="2"/>
  <c r="I79" i="2"/>
  <c r="I80" i="2"/>
  <c r="E75" i="2"/>
  <c r="E76" i="2"/>
  <c r="E77" i="2"/>
  <c r="E78" i="2"/>
  <c r="E79" i="2"/>
  <c r="E80" i="2"/>
  <c r="AY76" i="1"/>
  <c r="BD76" i="1"/>
  <c r="BI74" i="1"/>
  <c r="BI75" i="1"/>
  <c r="AU76" i="1"/>
  <c r="AT76" i="1"/>
  <c r="AS76" i="1"/>
  <c r="AA74" i="1"/>
  <c r="AA75" i="1"/>
  <c r="F75" i="3" s="1"/>
  <c r="AA77" i="1"/>
  <c r="AA79" i="1"/>
  <c r="Z76" i="1"/>
  <c r="Y76" i="1"/>
  <c r="X76" i="1"/>
  <c r="V76" i="1"/>
  <c r="V75" i="1"/>
  <c r="V74" i="1"/>
  <c r="Q79" i="1"/>
  <c r="W79" i="1" s="1"/>
  <c r="Q77" i="1"/>
  <c r="W77" i="1" s="1"/>
  <c r="Q76" i="1"/>
  <c r="Q75" i="1"/>
  <c r="W75" i="1" s="1"/>
  <c r="Q74" i="1"/>
  <c r="M76" i="1"/>
  <c r="E76"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42" i="1"/>
  <c r="U90" i="2"/>
  <c r="U91" i="2"/>
  <c r="U89" i="2"/>
  <c r="AA89" i="1"/>
  <c r="AA90" i="1"/>
  <c r="BU74" i="2"/>
  <c r="BT74" i="2"/>
  <c r="BS74" i="2"/>
  <c r="BM74" i="2"/>
  <c r="BR74" i="2" s="1"/>
  <c r="AT74" i="2"/>
  <c r="AS74" i="2"/>
  <c r="AR74" i="2"/>
  <c r="AP74" i="2"/>
  <c r="AH74" i="2"/>
  <c r="AD74" i="2"/>
  <c r="Z74" i="2"/>
  <c r="U74" i="2"/>
  <c r="BD74" i="2"/>
  <c r="AZ74" i="2"/>
  <c r="M74" i="2"/>
  <c r="I74" i="2"/>
  <c r="E74" i="2"/>
  <c r="AU73" i="1"/>
  <c r="AT73" i="1"/>
  <c r="AS73" i="1"/>
  <c r="BE73" i="1"/>
  <c r="BH73" i="1" s="1"/>
  <c r="BD73" i="1"/>
  <c r="AY73" i="1"/>
  <c r="Z73" i="1"/>
  <c r="Y73" i="1"/>
  <c r="X73" i="1"/>
  <c r="V73" i="1"/>
  <c r="Q73" i="1"/>
  <c r="M73" i="1"/>
  <c r="E73" i="1"/>
  <c r="BM81" i="2"/>
  <c r="BR81" i="2" s="1"/>
  <c r="BH81" i="2"/>
  <c r="AT81" i="2"/>
  <c r="AS81" i="2"/>
  <c r="AR81" i="2"/>
  <c r="AP84" i="2"/>
  <c r="AP83" i="2"/>
  <c r="AP82" i="2"/>
  <c r="AP81" i="2"/>
  <c r="U84" i="2"/>
  <c r="U83" i="2"/>
  <c r="U82" i="2"/>
  <c r="U81" i="2"/>
  <c r="AH81" i="2"/>
  <c r="AD81" i="2"/>
  <c r="Z81" i="2"/>
  <c r="M81" i="2"/>
  <c r="I81" i="2"/>
  <c r="E81" i="2"/>
  <c r="AE80" i="1"/>
  <c r="AQ80" i="1" s="1"/>
  <c r="Z80" i="1"/>
  <c r="Y80" i="1"/>
  <c r="X80" i="1"/>
  <c r="Q80" i="1"/>
  <c r="W80" i="1" s="1"/>
  <c r="M80" i="1"/>
  <c r="E80" i="1"/>
  <c r="B80" i="3" s="1"/>
  <c r="C80" i="3" s="1"/>
  <c r="Q81" i="1"/>
  <c r="W81" i="1" s="1"/>
  <c r="Q82" i="1"/>
  <c r="W82" i="1" s="1"/>
  <c r="I82" i="2"/>
  <c r="E82" i="2"/>
  <c r="AV78" i="2" l="1"/>
  <c r="BI78" i="2" s="1"/>
  <c r="BW78" i="2" s="1"/>
  <c r="BX78" i="2" s="1"/>
  <c r="BR75" i="2"/>
  <c r="G74" i="3" s="1"/>
  <c r="V79" i="2"/>
  <c r="AQ78" i="2"/>
  <c r="BR80" i="2"/>
  <c r="G79" i="3" s="1"/>
  <c r="G78" i="3"/>
  <c r="BR79" i="2"/>
  <c r="BW79" i="2" s="1"/>
  <c r="BX79" i="2" s="1"/>
  <c r="AQ81" i="2"/>
  <c r="AV80" i="2"/>
  <c r="BI80" i="2" s="1"/>
  <c r="BW80" i="2" s="1"/>
  <c r="BX80" i="2" s="1"/>
  <c r="F78" i="3"/>
  <c r="BV74" i="2"/>
  <c r="W73" i="1"/>
  <c r="BI73" i="1"/>
  <c r="BI76" i="1"/>
  <c r="AU81" i="2"/>
  <c r="AV81" i="2" s="1"/>
  <c r="BI81" i="2" s="1"/>
  <c r="BW81" i="2" s="1"/>
  <c r="BX81" i="2" s="1"/>
  <c r="AU74" i="2"/>
  <c r="W76" i="1"/>
  <c r="AA76" i="1"/>
  <c r="V77" i="2"/>
  <c r="B73" i="3"/>
  <c r="V74" i="2"/>
  <c r="AQ74" i="2"/>
  <c r="V80" i="2"/>
  <c r="C76" i="3"/>
  <c r="BH77" i="2"/>
  <c r="AQ77" i="2"/>
  <c r="F79" i="3"/>
  <c r="F74" i="3"/>
  <c r="G76" i="3"/>
  <c r="BV77" i="2"/>
  <c r="V81" i="2"/>
  <c r="W74" i="1"/>
  <c r="AV76" i="1"/>
  <c r="AU77" i="2"/>
  <c r="F76" i="3" s="1"/>
  <c r="G75" i="3"/>
  <c r="B76" i="3"/>
  <c r="BH74" i="2"/>
  <c r="G73" i="3"/>
  <c r="V76" i="2"/>
  <c r="C73" i="3"/>
  <c r="V78" i="2"/>
  <c r="V75" i="2"/>
  <c r="AQ76" i="2"/>
  <c r="G77" i="3"/>
  <c r="F77" i="3"/>
  <c r="BH76" i="2"/>
  <c r="AQ75" i="2"/>
  <c r="BH75" i="2"/>
  <c r="AA80" i="1"/>
  <c r="AA73" i="1"/>
  <c r="AV73" i="1"/>
  <c r="F55" i="3"/>
  <c r="F53" i="3"/>
  <c r="F52" i="3"/>
  <c r="F51" i="3"/>
  <c r="F50" i="3"/>
  <c r="F48" i="3"/>
  <c r="F46" i="3"/>
  <c r="F44" i="3"/>
  <c r="BV102" i="2"/>
  <c r="BV100" i="2"/>
  <c r="H99" i="3" s="1"/>
  <c r="BV99" i="2"/>
  <c r="BV98" i="2"/>
  <c r="BW98" i="2" s="1"/>
  <c r="BX98" i="2" s="1"/>
  <c r="BV97" i="2"/>
  <c r="BV96" i="2"/>
  <c r="BV95" i="2"/>
  <c r="BW95" i="2" s="1"/>
  <c r="BX95" i="2" s="1"/>
  <c r="BV94" i="2"/>
  <c r="BW94" i="2" s="1"/>
  <c r="BX94" i="2" s="1"/>
  <c r="BM91" i="2"/>
  <c r="BR91" i="2" s="1"/>
  <c r="BH91" i="2"/>
  <c r="AU91" i="2"/>
  <c r="AV91" i="2" s="1"/>
  <c r="BM90" i="2"/>
  <c r="BR90" i="2" s="1"/>
  <c r="BH90" i="2"/>
  <c r="AU90" i="2"/>
  <c r="AV90" i="2" s="1"/>
  <c r="BM89" i="2"/>
  <c r="BR89" i="2" s="1"/>
  <c r="BH89" i="2"/>
  <c r="AT89" i="2"/>
  <c r="AS89" i="2"/>
  <c r="AR89" i="2"/>
  <c r="AL89" i="2"/>
  <c r="AH89" i="2"/>
  <c r="AD89" i="2"/>
  <c r="Z89" i="2"/>
  <c r="Q89" i="2"/>
  <c r="M89" i="2"/>
  <c r="I89" i="2"/>
  <c r="E89" i="2"/>
  <c r="BM88" i="2"/>
  <c r="BR88" i="2" s="1"/>
  <c r="BH88" i="2"/>
  <c r="AU88" i="2"/>
  <c r="AV88" i="2" s="1"/>
  <c r="AH88" i="2"/>
  <c r="AD88" i="2"/>
  <c r="Z88" i="2"/>
  <c r="M88" i="2"/>
  <c r="I88" i="2"/>
  <c r="E88" i="2"/>
  <c r="BM87" i="2"/>
  <c r="BR87" i="2" s="1"/>
  <c r="BH87" i="2"/>
  <c r="AU87" i="2"/>
  <c r="AV87" i="2" s="1"/>
  <c r="AH87" i="2"/>
  <c r="AD87" i="2"/>
  <c r="Z87" i="2"/>
  <c r="M87" i="2"/>
  <c r="I87" i="2"/>
  <c r="E87" i="2"/>
  <c r="BM86" i="2"/>
  <c r="BR86" i="2" s="1"/>
  <c r="BH86" i="2"/>
  <c r="AU86" i="2"/>
  <c r="AV86" i="2" s="1"/>
  <c r="AH86" i="2"/>
  <c r="AD86" i="2"/>
  <c r="Z86" i="2"/>
  <c r="M86" i="2"/>
  <c r="I86" i="2"/>
  <c r="E86" i="2"/>
  <c r="BM85" i="2"/>
  <c r="BR85" i="2" s="1"/>
  <c r="BH85" i="2"/>
  <c r="AU85" i="2"/>
  <c r="AV85" i="2" s="1"/>
  <c r="BI85" i="2" s="1"/>
  <c r="BW85" i="2" s="1"/>
  <c r="BX85" i="2" s="1"/>
  <c r="AH85" i="2"/>
  <c r="AD85" i="2"/>
  <c r="Z85" i="2"/>
  <c r="M85" i="2"/>
  <c r="I85" i="2"/>
  <c r="E85" i="2"/>
  <c r="BM84" i="2"/>
  <c r="BR84" i="2" s="1"/>
  <c r="BH84" i="2"/>
  <c r="AT84" i="2"/>
  <c r="AS84" i="2"/>
  <c r="AR84" i="2"/>
  <c r="AH84" i="2"/>
  <c r="AD84" i="2"/>
  <c r="Z84" i="2"/>
  <c r="M84" i="2"/>
  <c r="V84" i="2" s="1"/>
  <c r="BM83" i="2"/>
  <c r="BR83" i="2" s="1"/>
  <c r="BH83" i="2"/>
  <c r="AT83" i="2"/>
  <c r="AS83" i="2"/>
  <c r="AR83" i="2"/>
  <c r="AH83" i="2"/>
  <c r="AD83" i="2"/>
  <c r="Z83" i="2"/>
  <c r="M83" i="2"/>
  <c r="I83" i="2"/>
  <c r="E83" i="2"/>
  <c r="BM82" i="2"/>
  <c r="BR82" i="2" s="1"/>
  <c r="BH82" i="2"/>
  <c r="AT82" i="2"/>
  <c r="AS82" i="2"/>
  <c r="AR82" i="2"/>
  <c r="AH82" i="2"/>
  <c r="AD82" i="2"/>
  <c r="Z82" i="2"/>
  <c r="M82" i="2"/>
  <c r="V82" i="2" s="1"/>
  <c r="BU73" i="2"/>
  <c r="BT73" i="2"/>
  <c r="BS73" i="2"/>
  <c r="BL73" i="2"/>
  <c r="BK73" i="2"/>
  <c r="BD73" i="2"/>
  <c r="AZ73" i="2"/>
  <c r="AT73" i="2"/>
  <c r="AS73" i="2"/>
  <c r="AR73" i="2"/>
  <c r="AP73" i="2"/>
  <c r="AH73" i="2"/>
  <c r="AD73" i="2"/>
  <c r="Z73" i="2"/>
  <c r="U73" i="2"/>
  <c r="M73" i="2"/>
  <c r="I73" i="2"/>
  <c r="E73" i="2"/>
  <c r="BU72" i="2"/>
  <c r="BT72" i="2"/>
  <c r="BS72" i="2"/>
  <c r="BL72" i="2"/>
  <c r="BK72" i="2"/>
  <c r="BD72" i="2"/>
  <c r="AZ72" i="2"/>
  <c r="AT72" i="2"/>
  <c r="AS72" i="2"/>
  <c r="AR72" i="2"/>
  <c r="AP72" i="2"/>
  <c r="AH72" i="2"/>
  <c r="AD72" i="2"/>
  <c r="Z72" i="2"/>
  <c r="U72" i="2"/>
  <c r="M72" i="2"/>
  <c r="I72" i="2"/>
  <c r="E72" i="2"/>
  <c r="BU71" i="2"/>
  <c r="BT71" i="2"/>
  <c r="BS71" i="2"/>
  <c r="BM71" i="2"/>
  <c r="BR71" i="2" s="1"/>
  <c r="BD71" i="2"/>
  <c r="AZ71" i="2"/>
  <c r="AT71" i="2"/>
  <c r="AS71" i="2"/>
  <c r="AR71" i="2"/>
  <c r="AP71" i="2"/>
  <c r="AH71" i="2"/>
  <c r="AD71" i="2"/>
  <c r="Z71" i="2"/>
  <c r="U71" i="2"/>
  <c r="M71" i="2"/>
  <c r="I71" i="2"/>
  <c r="E71" i="2"/>
  <c r="BS70" i="2"/>
  <c r="BV70" i="2" s="1"/>
  <c r="BM70" i="2"/>
  <c r="BR70" i="2" s="1"/>
  <c r="BD70" i="2"/>
  <c r="AZ70" i="2"/>
  <c r="AT70" i="2"/>
  <c r="AS70" i="2"/>
  <c r="AR70" i="2"/>
  <c r="AP70" i="2"/>
  <c r="AH70" i="2"/>
  <c r="AD70" i="2"/>
  <c r="Z70" i="2"/>
  <c r="U70" i="2"/>
  <c r="M70" i="2"/>
  <c r="I70" i="2"/>
  <c r="E70" i="2"/>
  <c r="BU69" i="2"/>
  <c r="BT69" i="2"/>
  <c r="BS69" i="2"/>
  <c r="BM69" i="2"/>
  <c r="BR69" i="2" s="1"/>
  <c r="BD69" i="2"/>
  <c r="AZ69" i="2"/>
  <c r="AT69" i="2"/>
  <c r="AS69" i="2"/>
  <c r="AR69" i="2"/>
  <c r="AP69" i="2"/>
  <c r="AH69" i="2"/>
  <c r="AD69" i="2"/>
  <c r="Z69" i="2"/>
  <c r="U69" i="2"/>
  <c r="M69" i="2"/>
  <c r="I69" i="2"/>
  <c r="E69" i="2"/>
  <c r="BU68" i="2"/>
  <c r="BT68" i="2"/>
  <c r="BS68" i="2"/>
  <c r="BM68" i="2"/>
  <c r="BR68" i="2" s="1"/>
  <c r="BD68" i="2"/>
  <c r="AZ68" i="2"/>
  <c r="AT68" i="2"/>
  <c r="AS68" i="2"/>
  <c r="AR68" i="2"/>
  <c r="AP68" i="2"/>
  <c r="AH68" i="2"/>
  <c r="AD68" i="2"/>
  <c r="Z68" i="2"/>
  <c r="U68" i="2"/>
  <c r="M68" i="2"/>
  <c r="I68" i="2"/>
  <c r="E68" i="2"/>
  <c r="BU67" i="2"/>
  <c r="BT67" i="2"/>
  <c r="BS67" i="2"/>
  <c r="BM67" i="2"/>
  <c r="BR67" i="2" s="1"/>
  <c r="BD67" i="2"/>
  <c r="AZ67" i="2"/>
  <c r="AT67" i="2"/>
  <c r="AS67" i="2"/>
  <c r="AR67" i="2"/>
  <c r="AP67" i="2"/>
  <c r="AH67" i="2"/>
  <c r="AD67" i="2"/>
  <c r="Z67" i="2"/>
  <c r="U67" i="2"/>
  <c r="M67" i="2"/>
  <c r="I67" i="2"/>
  <c r="E67" i="2"/>
  <c r="BV66" i="2"/>
  <c r="BM66" i="2"/>
  <c r="BR66" i="2" s="1"/>
  <c r="BD66" i="2"/>
  <c r="AZ66" i="2"/>
  <c r="AT66" i="2"/>
  <c r="AS66" i="2"/>
  <c r="AR66" i="2"/>
  <c r="AP66" i="2"/>
  <c r="AH66" i="2"/>
  <c r="AD66" i="2"/>
  <c r="Z66" i="2"/>
  <c r="U66" i="2"/>
  <c r="M66" i="2"/>
  <c r="I66" i="2"/>
  <c r="E66" i="2"/>
  <c r="BV65" i="2"/>
  <c r="BM65" i="2"/>
  <c r="BR65" i="2" s="1"/>
  <c r="BD65" i="2"/>
  <c r="AZ65" i="2"/>
  <c r="AT65" i="2"/>
  <c r="AS65" i="2"/>
  <c r="AR65" i="2"/>
  <c r="AP65" i="2"/>
  <c r="AH65" i="2"/>
  <c r="AD65" i="2"/>
  <c r="Z65" i="2"/>
  <c r="U65" i="2"/>
  <c r="M65" i="2"/>
  <c r="I65" i="2"/>
  <c r="E65" i="2"/>
  <c r="BV64" i="2"/>
  <c r="BM64" i="2"/>
  <c r="BR64" i="2" s="1"/>
  <c r="BD64" i="2"/>
  <c r="AZ64" i="2"/>
  <c r="AT64" i="2"/>
  <c r="AS64" i="2"/>
  <c r="AR64" i="2"/>
  <c r="AP64" i="2"/>
  <c r="AH64" i="2"/>
  <c r="AD64" i="2"/>
  <c r="Z64" i="2"/>
  <c r="U64" i="2"/>
  <c r="M64" i="2"/>
  <c r="I64" i="2"/>
  <c r="E64" i="2"/>
  <c r="BV63" i="2"/>
  <c r="BM63" i="2"/>
  <c r="BR63" i="2" s="1"/>
  <c r="BD63" i="2"/>
  <c r="AZ63" i="2"/>
  <c r="AT63" i="2"/>
  <c r="AS63" i="2"/>
  <c r="AR63" i="2"/>
  <c r="AP63" i="2"/>
  <c r="AH63" i="2"/>
  <c r="AD63" i="2"/>
  <c r="Z63" i="2"/>
  <c r="U63" i="2"/>
  <c r="M63" i="2"/>
  <c r="I63" i="2"/>
  <c r="E63" i="2"/>
  <c r="BV62" i="2"/>
  <c r="BM62" i="2"/>
  <c r="BR62" i="2" s="1"/>
  <c r="BD62" i="2"/>
  <c r="AZ62" i="2"/>
  <c r="AT62" i="2"/>
  <c r="AS62" i="2"/>
  <c r="AR62" i="2"/>
  <c r="AP62" i="2"/>
  <c r="AH62" i="2"/>
  <c r="AD62" i="2"/>
  <c r="Z62" i="2"/>
  <c r="U62" i="2"/>
  <c r="M62" i="2"/>
  <c r="I62" i="2"/>
  <c r="E62" i="2"/>
  <c r="BV61" i="2"/>
  <c r="BM61" i="2"/>
  <c r="BR61" i="2" s="1"/>
  <c r="BD61" i="2"/>
  <c r="AZ61" i="2"/>
  <c r="AT61" i="2"/>
  <c r="AS61" i="2"/>
  <c r="AR61" i="2"/>
  <c r="AO61" i="2"/>
  <c r="AN61" i="2"/>
  <c r="AM61" i="2"/>
  <c r="AH61" i="2"/>
  <c r="AD61" i="2"/>
  <c r="Z61" i="2"/>
  <c r="U61" i="2"/>
  <c r="M61" i="2"/>
  <c r="I61" i="2"/>
  <c r="E61" i="2"/>
  <c r="BV60" i="2"/>
  <c r="BM60" i="2"/>
  <c r="BR60" i="2" s="1"/>
  <c r="BD60" i="2"/>
  <c r="AZ60" i="2"/>
  <c r="AU60" i="2"/>
  <c r="AP60" i="2"/>
  <c r="AH60" i="2"/>
  <c r="AD60" i="2"/>
  <c r="Z60" i="2"/>
  <c r="U60" i="2"/>
  <c r="M60" i="2"/>
  <c r="I60" i="2"/>
  <c r="E60" i="2"/>
  <c r="BU59" i="2"/>
  <c r="BT59" i="2"/>
  <c r="BS59" i="2"/>
  <c r="BD59" i="2"/>
  <c r="AZ59" i="2"/>
  <c r="AT59" i="2"/>
  <c r="AS59" i="2"/>
  <c r="AR59" i="2"/>
  <c r="AP59" i="2"/>
  <c r="AL59" i="2"/>
  <c r="AH59" i="2"/>
  <c r="AD59" i="2"/>
  <c r="Z59" i="2"/>
  <c r="U59" i="2"/>
  <c r="Q59" i="2"/>
  <c r="M59" i="2"/>
  <c r="I59" i="2"/>
  <c r="E59" i="2"/>
  <c r="BU58" i="2"/>
  <c r="BT58" i="2"/>
  <c r="BS58" i="2"/>
  <c r="BD58" i="2"/>
  <c r="AZ58" i="2"/>
  <c r="AT58" i="2"/>
  <c r="AS58" i="2"/>
  <c r="AR58" i="2"/>
  <c r="AP58" i="2"/>
  <c r="AL58" i="2"/>
  <c r="AH58" i="2"/>
  <c r="AD58" i="2"/>
  <c r="Z58" i="2"/>
  <c r="U58" i="2"/>
  <c r="Q58" i="2"/>
  <c r="M58" i="2"/>
  <c r="I58" i="2"/>
  <c r="E58" i="2"/>
  <c r="BU57" i="2"/>
  <c r="BT57" i="2"/>
  <c r="BS57" i="2"/>
  <c r="BD57" i="2"/>
  <c r="AZ57" i="2"/>
  <c r="AT57" i="2"/>
  <c r="AS57" i="2"/>
  <c r="AR57" i="2"/>
  <c r="AP57" i="2"/>
  <c r="AL57" i="2"/>
  <c r="AH57" i="2"/>
  <c r="AD57" i="2"/>
  <c r="Z57" i="2"/>
  <c r="U57" i="2"/>
  <c r="Q57" i="2"/>
  <c r="M57" i="2"/>
  <c r="I57" i="2"/>
  <c r="E57" i="2"/>
  <c r="BS56" i="2"/>
  <c r="BV56" i="2" s="1"/>
  <c r="BD56" i="2"/>
  <c r="AZ56" i="2"/>
  <c r="AP56" i="2"/>
  <c r="AL56" i="2"/>
  <c r="AH56" i="2"/>
  <c r="AD56" i="2"/>
  <c r="Z56" i="2"/>
  <c r="U56" i="2"/>
  <c r="Q56" i="2"/>
  <c r="M56" i="2"/>
  <c r="I56" i="2"/>
  <c r="E56" i="2"/>
  <c r="BU55" i="2"/>
  <c r="BT55" i="2"/>
  <c r="BS55" i="2"/>
  <c r="BD55" i="2"/>
  <c r="AZ55" i="2"/>
  <c r="AU55" i="2"/>
  <c r="AP55" i="2"/>
  <c r="AL55" i="2"/>
  <c r="AH55" i="2"/>
  <c r="AD55" i="2"/>
  <c r="Z55" i="2"/>
  <c r="U55" i="2"/>
  <c r="Q55" i="2"/>
  <c r="M55" i="2"/>
  <c r="I55" i="2"/>
  <c r="E55" i="2"/>
  <c r="BS54" i="2"/>
  <c r="BV54" i="2" s="1"/>
  <c r="BD54" i="2"/>
  <c r="AZ54" i="2"/>
  <c r="AP54" i="2"/>
  <c r="AL54" i="2"/>
  <c r="AH54" i="2"/>
  <c r="AD54" i="2"/>
  <c r="Z54" i="2"/>
  <c r="U54" i="2"/>
  <c r="Q54" i="2"/>
  <c r="M54" i="2"/>
  <c r="I54" i="2"/>
  <c r="E54" i="2"/>
  <c r="BV53" i="2"/>
  <c r="BD53" i="2"/>
  <c r="AZ53" i="2"/>
  <c r="AP53" i="2"/>
  <c r="AL53" i="2"/>
  <c r="AH53" i="2"/>
  <c r="AD53" i="2"/>
  <c r="Z53" i="2"/>
  <c r="U53" i="2"/>
  <c r="Q53" i="2"/>
  <c r="M53" i="2"/>
  <c r="I53" i="2"/>
  <c r="E53" i="2"/>
  <c r="BS52" i="2"/>
  <c r="BV52" i="2" s="1"/>
  <c r="BD52" i="2"/>
  <c r="AZ52" i="2"/>
  <c r="AP52" i="2"/>
  <c r="AL52" i="2"/>
  <c r="AH52" i="2"/>
  <c r="AD52" i="2"/>
  <c r="Z52" i="2"/>
  <c r="U52" i="2"/>
  <c r="Q52" i="2"/>
  <c r="M52" i="2"/>
  <c r="I52" i="2"/>
  <c r="E52" i="2"/>
  <c r="BS51" i="2"/>
  <c r="BV51" i="2" s="1"/>
  <c r="BD51" i="2"/>
  <c r="AZ51" i="2"/>
  <c r="AP51" i="2"/>
  <c r="AL51" i="2"/>
  <c r="AH51" i="2"/>
  <c r="AD51" i="2"/>
  <c r="Z51" i="2"/>
  <c r="U51" i="2"/>
  <c r="Q51" i="2"/>
  <c r="M51" i="2"/>
  <c r="I51" i="2"/>
  <c r="E51" i="2"/>
  <c r="BU50" i="2"/>
  <c r="BT50" i="2"/>
  <c r="BS50" i="2"/>
  <c r="BD50" i="2"/>
  <c r="AZ50" i="2"/>
  <c r="AU50" i="2"/>
  <c r="AP50" i="2"/>
  <c r="AL50" i="2"/>
  <c r="AH50" i="2"/>
  <c r="AD50" i="2"/>
  <c r="Z50" i="2"/>
  <c r="U50" i="2"/>
  <c r="Q50" i="2"/>
  <c r="M50" i="2"/>
  <c r="I50" i="2"/>
  <c r="E50" i="2"/>
  <c r="BS49" i="2"/>
  <c r="BV49" i="2" s="1"/>
  <c r="BD49" i="2"/>
  <c r="AZ49" i="2"/>
  <c r="AP49" i="2"/>
  <c r="AL49" i="2"/>
  <c r="AH49" i="2"/>
  <c r="AD49" i="2"/>
  <c r="Z49" i="2"/>
  <c r="U49" i="2"/>
  <c r="Q49" i="2"/>
  <c r="M49" i="2"/>
  <c r="I49" i="2"/>
  <c r="E49" i="2"/>
  <c r="BU48" i="2"/>
  <c r="BT48" i="2"/>
  <c r="BS48" i="2"/>
  <c r="BD48" i="2"/>
  <c r="AZ48" i="2"/>
  <c r="AU48" i="2"/>
  <c r="AP48" i="2"/>
  <c r="AL48" i="2"/>
  <c r="AH48" i="2"/>
  <c r="AD48" i="2"/>
  <c r="Z48" i="2"/>
  <c r="U48" i="2"/>
  <c r="Q48" i="2"/>
  <c r="M48" i="2"/>
  <c r="I48" i="2"/>
  <c r="E48" i="2"/>
  <c r="BV47" i="2"/>
  <c r="BD47" i="2"/>
  <c r="AZ47" i="2"/>
  <c r="AP47" i="2"/>
  <c r="AL47" i="2"/>
  <c r="AH47" i="2"/>
  <c r="AD47" i="2"/>
  <c r="Z47" i="2"/>
  <c r="U47" i="2"/>
  <c r="Q47" i="2"/>
  <c r="M47" i="2"/>
  <c r="I47" i="2"/>
  <c r="E47" i="2"/>
  <c r="BU46" i="2"/>
  <c r="BT46" i="2"/>
  <c r="BS46" i="2"/>
  <c r="BD46" i="2"/>
  <c r="AZ46" i="2"/>
  <c r="AU46" i="2"/>
  <c r="AP46" i="2"/>
  <c r="AL46" i="2"/>
  <c r="AH46" i="2"/>
  <c r="AD46" i="2"/>
  <c r="Z46" i="2"/>
  <c r="U46" i="2"/>
  <c r="Q46" i="2"/>
  <c r="M46" i="2"/>
  <c r="I46" i="2"/>
  <c r="E46" i="2"/>
  <c r="BV45" i="2"/>
  <c r="BD45" i="2"/>
  <c r="AZ45" i="2"/>
  <c r="AP45" i="2"/>
  <c r="AL45" i="2"/>
  <c r="AH45" i="2"/>
  <c r="AD45" i="2"/>
  <c r="Z45" i="2"/>
  <c r="U45" i="2"/>
  <c r="Q45" i="2"/>
  <c r="M45" i="2"/>
  <c r="I45" i="2"/>
  <c r="E45" i="2"/>
  <c r="BS44" i="2"/>
  <c r="BV44" i="2" s="1"/>
  <c r="BD44" i="2"/>
  <c r="AZ44" i="2"/>
  <c r="AU44" i="2"/>
  <c r="AP44" i="2"/>
  <c r="AL44" i="2"/>
  <c r="AH44" i="2"/>
  <c r="AD44" i="2"/>
  <c r="Z44" i="2"/>
  <c r="U44" i="2"/>
  <c r="Q44" i="2"/>
  <c r="M44" i="2"/>
  <c r="I44" i="2"/>
  <c r="E44" i="2"/>
  <c r="BS43" i="2"/>
  <c r="BV43" i="2" s="1"/>
  <c r="BM43" i="2"/>
  <c r="BR43" i="2" s="1"/>
  <c r="BD43" i="2"/>
  <c r="AZ43" i="2"/>
  <c r="AU43" i="2"/>
  <c r="AP43" i="2"/>
  <c r="AL43" i="2"/>
  <c r="AH43" i="2"/>
  <c r="AD43" i="2"/>
  <c r="Z43" i="2"/>
  <c r="U43" i="2"/>
  <c r="Q43" i="2"/>
  <c r="M43" i="2"/>
  <c r="I43" i="2"/>
  <c r="E43" i="2"/>
  <c r="AV102" i="1"/>
  <c r="AV101" i="1"/>
  <c r="AV98" i="1"/>
  <c r="AV97" i="1"/>
  <c r="AV96" i="1"/>
  <c r="AV95" i="1"/>
  <c r="AV94" i="1"/>
  <c r="AV93" i="1"/>
  <c r="I92" i="1"/>
  <c r="Q91" i="1"/>
  <c r="AR91" i="1" s="1"/>
  <c r="AW91" i="1" s="1"/>
  <c r="I91" i="1"/>
  <c r="F90" i="3"/>
  <c r="Q90" i="1"/>
  <c r="W90" i="1" s="1"/>
  <c r="M90" i="1"/>
  <c r="I90" i="1"/>
  <c r="D90" i="3" s="1"/>
  <c r="E90" i="3" s="1"/>
  <c r="E90" i="1"/>
  <c r="Q89" i="1"/>
  <c r="W89" i="1" s="1"/>
  <c r="M89" i="1"/>
  <c r="I89" i="1"/>
  <c r="D89" i="3" s="1"/>
  <c r="E89" i="3" s="1"/>
  <c r="E89" i="1"/>
  <c r="AI88" i="1"/>
  <c r="AE88" i="1"/>
  <c r="Z88" i="1"/>
  <c r="Y88" i="1"/>
  <c r="X88" i="1"/>
  <c r="M88" i="1"/>
  <c r="I88" i="1"/>
  <c r="D88" i="3" s="1"/>
  <c r="E88" i="3" s="1"/>
  <c r="E88" i="1"/>
  <c r="AE87" i="1"/>
  <c r="AQ87" i="1" s="1"/>
  <c r="AA87" i="1"/>
  <c r="M87" i="1"/>
  <c r="I87" i="1"/>
  <c r="D87" i="3" s="1"/>
  <c r="E87" i="3" s="1"/>
  <c r="E87" i="1"/>
  <c r="AE86" i="1"/>
  <c r="AQ86" i="1" s="1"/>
  <c r="AR86" i="1" s="1"/>
  <c r="AA86" i="1"/>
  <c r="M86" i="1"/>
  <c r="I86" i="1"/>
  <c r="D86" i="3" s="1"/>
  <c r="E86" i="3" s="1"/>
  <c r="E86" i="1"/>
  <c r="AE85" i="1"/>
  <c r="AQ85" i="1" s="1"/>
  <c r="AA85" i="1"/>
  <c r="M85" i="1"/>
  <c r="I85" i="1"/>
  <c r="D85" i="3" s="1"/>
  <c r="E85" i="3" s="1"/>
  <c r="E85" i="1"/>
  <c r="AE84" i="1"/>
  <c r="AQ84" i="1" s="1"/>
  <c r="AA84" i="1"/>
  <c r="M84" i="1"/>
  <c r="I84" i="1"/>
  <c r="D84" i="3" s="1"/>
  <c r="E84" i="3" s="1"/>
  <c r="E84" i="1"/>
  <c r="B84" i="3" s="1"/>
  <c r="C84" i="3" s="1"/>
  <c r="AE83" i="1"/>
  <c r="AQ83" i="1" s="1"/>
  <c r="Z83" i="1"/>
  <c r="Y83" i="1"/>
  <c r="X83" i="1"/>
  <c r="M83" i="1"/>
  <c r="I83" i="1"/>
  <c r="D83" i="3" s="1"/>
  <c r="E83" i="3" s="1"/>
  <c r="E83" i="1"/>
  <c r="AE82" i="1"/>
  <c r="AQ82" i="1" s="1"/>
  <c r="Z82" i="1"/>
  <c r="Y82" i="1"/>
  <c r="X82" i="1"/>
  <c r="M82" i="1"/>
  <c r="I82" i="1"/>
  <c r="D82" i="3" s="1"/>
  <c r="E82" i="3" s="1"/>
  <c r="E82" i="1"/>
  <c r="AE81" i="1"/>
  <c r="AQ81" i="1" s="1"/>
  <c r="Z81" i="1"/>
  <c r="Y81" i="1"/>
  <c r="X81" i="1"/>
  <c r="M81" i="1"/>
  <c r="I81" i="1"/>
  <c r="D81" i="3" s="1"/>
  <c r="E81" i="3" s="1"/>
  <c r="E81" i="1"/>
  <c r="I80" i="1"/>
  <c r="I79" i="1"/>
  <c r="R79" i="1" s="1"/>
  <c r="AR79" i="1" s="1"/>
  <c r="I78" i="1"/>
  <c r="R78" i="1" s="1"/>
  <c r="AR78" i="1" s="1"/>
  <c r="I77" i="1"/>
  <c r="R77" i="1" s="1"/>
  <c r="AR77" i="1" s="1"/>
  <c r="I76" i="1"/>
  <c r="R76" i="1" s="1"/>
  <c r="I75" i="1"/>
  <c r="R75" i="1" s="1"/>
  <c r="AR75" i="1" s="1"/>
  <c r="I74" i="1"/>
  <c r="I73" i="1"/>
  <c r="E73" i="3" s="1"/>
  <c r="AU72" i="1"/>
  <c r="AT72" i="1"/>
  <c r="AS72" i="1"/>
  <c r="BD72" i="1"/>
  <c r="AY72" i="1"/>
  <c r="Z72" i="1"/>
  <c r="Y72" i="1"/>
  <c r="X72" i="1"/>
  <c r="V72" i="1"/>
  <c r="Q72" i="1"/>
  <c r="M72" i="1"/>
  <c r="I72" i="1"/>
  <c r="E72" i="1"/>
  <c r="AV71" i="1"/>
  <c r="BD71" i="1"/>
  <c r="AY71" i="1"/>
  <c r="Z71" i="1"/>
  <c r="Y71" i="1"/>
  <c r="X71" i="1"/>
  <c r="V71" i="1"/>
  <c r="Q71" i="1"/>
  <c r="M71" i="1"/>
  <c r="I71" i="1"/>
  <c r="E71" i="1"/>
  <c r="AU70" i="1"/>
  <c r="AT70" i="1"/>
  <c r="AS70" i="1"/>
  <c r="BD70" i="1"/>
  <c r="AY70" i="1"/>
  <c r="Z70" i="1"/>
  <c r="Y70" i="1"/>
  <c r="X70" i="1"/>
  <c r="V70" i="1"/>
  <c r="Q70" i="1"/>
  <c r="M70" i="1"/>
  <c r="I70" i="1"/>
  <c r="E70" i="1"/>
  <c r="AU69" i="1"/>
  <c r="AT69" i="1"/>
  <c r="AS69" i="1"/>
  <c r="BD69" i="1"/>
  <c r="AY69" i="1"/>
  <c r="Z69" i="1"/>
  <c r="Y69" i="1"/>
  <c r="X69" i="1"/>
  <c r="V69" i="1"/>
  <c r="Q69" i="1"/>
  <c r="W69" i="1" s="1"/>
  <c r="M69" i="1"/>
  <c r="I69" i="1"/>
  <c r="E69" i="1"/>
  <c r="AU68" i="1"/>
  <c r="AT68" i="1"/>
  <c r="AS68" i="1"/>
  <c r="BD68" i="1"/>
  <c r="AY68" i="1"/>
  <c r="BI68" i="1" s="1"/>
  <c r="Z68" i="1"/>
  <c r="Y68" i="1"/>
  <c r="X68" i="1"/>
  <c r="V68" i="1"/>
  <c r="Q68" i="1"/>
  <c r="M68" i="1"/>
  <c r="I68" i="1"/>
  <c r="E68" i="1"/>
  <c r="AU67" i="1"/>
  <c r="AT67" i="1"/>
  <c r="AS67" i="1"/>
  <c r="BD67" i="1"/>
  <c r="BI67" i="1" s="1"/>
  <c r="Z67" i="1"/>
  <c r="Y67" i="1"/>
  <c r="X67" i="1"/>
  <c r="V67" i="1"/>
  <c r="Q67" i="1"/>
  <c r="M67" i="1"/>
  <c r="I67" i="1"/>
  <c r="E67" i="1"/>
  <c r="B67" i="3" s="1"/>
  <c r="AS66" i="1"/>
  <c r="AV66" i="1" s="1"/>
  <c r="BD66" i="1"/>
  <c r="BI66" i="1" s="1"/>
  <c r="Z66" i="1"/>
  <c r="Y66" i="1"/>
  <c r="X66" i="1"/>
  <c r="V66" i="1"/>
  <c r="Q66" i="1"/>
  <c r="M66" i="1"/>
  <c r="I66" i="1"/>
  <c r="E66" i="1"/>
  <c r="AU65" i="1"/>
  <c r="AT65" i="1"/>
  <c r="AS65" i="1"/>
  <c r="BD65" i="1"/>
  <c r="BI65" i="1" s="1"/>
  <c r="Z65" i="1"/>
  <c r="Y65" i="1"/>
  <c r="X65" i="1"/>
  <c r="V65" i="1"/>
  <c r="Q65" i="1"/>
  <c r="M65" i="1"/>
  <c r="I65" i="1"/>
  <c r="D65" i="3" s="1"/>
  <c r="E65" i="1"/>
  <c r="B65" i="3" s="1"/>
  <c r="AU64" i="1"/>
  <c r="AT64" i="1"/>
  <c r="AS64" i="1"/>
  <c r="BD64" i="1"/>
  <c r="BI64" i="1" s="1"/>
  <c r="Z64" i="1"/>
  <c r="Y64" i="1"/>
  <c r="X64" i="1"/>
  <c r="V64" i="1"/>
  <c r="Q64" i="1"/>
  <c r="M64" i="1"/>
  <c r="I64" i="1"/>
  <c r="E64" i="1"/>
  <c r="AU63" i="1"/>
  <c r="AT63" i="1"/>
  <c r="AS63" i="1"/>
  <c r="BD63" i="1"/>
  <c r="BI63" i="1" s="1"/>
  <c r="Z63" i="1"/>
  <c r="Y63" i="1"/>
  <c r="X63" i="1"/>
  <c r="V63" i="1"/>
  <c r="Q63" i="1"/>
  <c r="M63" i="1"/>
  <c r="I63" i="1"/>
  <c r="E63" i="1"/>
  <c r="AU62" i="1"/>
  <c r="AT62" i="1"/>
  <c r="AS62" i="1"/>
  <c r="BD62" i="1"/>
  <c r="BI62" i="1" s="1"/>
  <c r="Z62" i="1"/>
  <c r="Y62" i="1"/>
  <c r="X62" i="1"/>
  <c r="V62" i="1"/>
  <c r="Q62" i="1"/>
  <c r="M62" i="1"/>
  <c r="I62" i="1"/>
  <c r="E62" i="1"/>
  <c r="AU61" i="1"/>
  <c r="AT61" i="1"/>
  <c r="AS61" i="1"/>
  <c r="BD61" i="1"/>
  <c r="BI61" i="1" s="1"/>
  <c r="V61" i="1"/>
  <c r="Q61" i="1"/>
  <c r="W61" i="1" s="1"/>
  <c r="M61" i="1"/>
  <c r="I61" i="1"/>
  <c r="D61" i="3" s="1"/>
  <c r="E61" i="1"/>
  <c r="AU60" i="1"/>
  <c r="AT60" i="1"/>
  <c r="AS60" i="1"/>
  <c r="BD60" i="1"/>
  <c r="BI60" i="1" s="1"/>
  <c r="V60" i="1"/>
  <c r="Q60" i="1"/>
  <c r="M60" i="1"/>
  <c r="I60" i="1"/>
  <c r="E60" i="1"/>
  <c r="B60" i="3" s="1"/>
  <c r="AU59" i="1"/>
  <c r="AT59" i="1"/>
  <c r="AS59" i="1"/>
  <c r="BD59" i="1"/>
  <c r="BI59" i="1" s="1"/>
  <c r="V59" i="1"/>
  <c r="Q59" i="1"/>
  <c r="M59" i="1"/>
  <c r="I59" i="1"/>
  <c r="E59" i="1"/>
  <c r="AU58" i="1"/>
  <c r="AT58" i="1"/>
  <c r="AS58" i="1"/>
  <c r="BD58" i="1"/>
  <c r="BI58" i="1" s="1"/>
  <c r="G58" i="3" s="1"/>
  <c r="AA58" i="1"/>
  <c r="V58" i="1"/>
  <c r="Q58" i="1"/>
  <c r="W58" i="1" s="1"/>
  <c r="M58" i="1"/>
  <c r="I58" i="1"/>
  <c r="E58" i="1"/>
  <c r="AU57" i="1"/>
  <c r="AT57" i="1"/>
  <c r="AS57" i="1"/>
  <c r="BD57" i="1"/>
  <c r="BI57" i="1" s="1"/>
  <c r="G57" i="3" s="1"/>
  <c r="AA57" i="1"/>
  <c r="V57" i="1"/>
  <c r="Q57" i="1"/>
  <c r="M57" i="1"/>
  <c r="I57" i="1"/>
  <c r="D57" i="3" s="1"/>
  <c r="E57" i="1"/>
  <c r="AU56" i="1"/>
  <c r="AT56" i="1"/>
  <c r="AS56" i="1"/>
  <c r="BD56" i="1"/>
  <c r="BI56" i="1" s="1"/>
  <c r="G56" i="3" s="1"/>
  <c r="AA56" i="1"/>
  <c r="V56" i="1"/>
  <c r="Q56" i="1"/>
  <c r="W56" i="1" s="1"/>
  <c r="M56" i="1"/>
  <c r="I56" i="1"/>
  <c r="E56" i="1"/>
  <c r="AU55" i="1"/>
  <c r="AT55" i="1"/>
  <c r="AS55" i="1"/>
  <c r="BD55" i="1"/>
  <c r="AY55" i="1"/>
  <c r="BI55" i="1" s="1"/>
  <c r="G55" i="3" s="1"/>
  <c r="V55" i="1"/>
  <c r="Q55" i="1"/>
  <c r="M55" i="1"/>
  <c r="I55" i="1"/>
  <c r="E55" i="1"/>
  <c r="AU54" i="1"/>
  <c r="AT54" i="1"/>
  <c r="AS54" i="1"/>
  <c r="BD54" i="1"/>
  <c r="AY54" i="1"/>
  <c r="AA54" i="1"/>
  <c r="V54" i="1"/>
  <c r="Q54" i="1"/>
  <c r="M54" i="1"/>
  <c r="I54" i="1"/>
  <c r="E54" i="1"/>
  <c r="B54" i="3" s="1"/>
  <c r="AU53" i="1"/>
  <c r="AT53" i="1"/>
  <c r="AS53" i="1"/>
  <c r="BD53" i="1"/>
  <c r="AY53" i="1"/>
  <c r="V53" i="1"/>
  <c r="Q53" i="1"/>
  <c r="M53" i="1"/>
  <c r="I53" i="1"/>
  <c r="E53" i="1"/>
  <c r="AV52" i="1"/>
  <c r="BD52" i="1"/>
  <c r="AY52" i="1"/>
  <c r="V52" i="1"/>
  <c r="Q52" i="1"/>
  <c r="M52" i="1"/>
  <c r="I52" i="1"/>
  <c r="E52" i="1"/>
  <c r="B52" i="3" s="1"/>
  <c r="AU51" i="1"/>
  <c r="AT51" i="1"/>
  <c r="AS51" i="1"/>
  <c r="BD51" i="1"/>
  <c r="AY51" i="1"/>
  <c r="V51" i="1"/>
  <c r="Q51" i="1"/>
  <c r="M51" i="1"/>
  <c r="I51" i="1"/>
  <c r="E51" i="1"/>
  <c r="AV50" i="1"/>
  <c r="BD50" i="1"/>
  <c r="AY50" i="1"/>
  <c r="V50" i="1"/>
  <c r="Q50" i="1"/>
  <c r="M50" i="1"/>
  <c r="I50" i="1"/>
  <c r="E50" i="1"/>
  <c r="B50" i="3" s="1"/>
  <c r="AU49" i="1"/>
  <c r="AT49" i="1"/>
  <c r="AS49" i="1"/>
  <c r="BD49" i="1"/>
  <c r="AY49" i="1"/>
  <c r="AA49" i="1"/>
  <c r="V49" i="1"/>
  <c r="Q49" i="1"/>
  <c r="W49" i="1" s="1"/>
  <c r="M49" i="1"/>
  <c r="I49" i="1"/>
  <c r="E49" i="1"/>
  <c r="AV48" i="1"/>
  <c r="BD48" i="1"/>
  <c r="AY48" i="1"/>
  <c r="V48" i="1"/>
  <c r="Q48" i="1"/>
  <c r="W48" i="1" s="1"/>
  <c r="M48" i="1"/>
  <c r="I48" i="1"/>
  <c r="E48" i="1"/>
  <c r="AU47" i="1"/>
  <c r="AT47" i="1"/>
  <c r="AS47" i="1"/>
  <c r="BD47" i="1"/>
  <c r="AY47" i="1"/>
  <c r="BI47" i="1" s="1"/>
  <c r="G47" i="3" s="1"/>
  <c r="AA47" i="1"/>
  <c r="V47" i="1"/>
  <c r="Q47" i="1"/>
  <c r="M47" i="1"/>
  <c r="I47" i="1"/>
  <c r="E47" i="1"/>
  <c r="AV46" i="1"/>
  <c r="BD46" i="1"/>
  <c r="BI46" i="1" s="1"/>
  <c r="G46" i="3" s="1"/>
  <c r="V46" i="1"/>
  <c r="Q46" i="1"/>
  <c r="M46" i="1"/>
  <c r="I46" i="1"/>
  <c r="D46" i="3" s="1"/>
  <c r="E46" i="1"/>
  <c r="AU45" i="1"/>
  <c r="AT45" i="1"/>
  <c r="AS45" i="1"/>
  <c r="BD45" i="1"/>
  <c r="BI45" i="1" s="1"/>
  <c r="G45" i="3" s="1"/>
  <c r="AA45" i="1"/>
  <c r="V45" i="1"/>
  <c r="Q45" i="1"/>
  <c r="W45" i="1" s="1"/>
  <c r="M45" i="1"/>
  <c r="I45" i="1"/>
  <c r="E45" i="1"/>
  <c r="AV44" i="1"/>
  <c r="BD44" i="1"/>
  <c r="BI44" i="1" s="1"/>
  <c r="G44" i="3" s="1"/>
  <c r="V44" i="1"/>
  <c r="Q44" i="1"/>
  <c r="M44" i="1"/>
  <c r="I44" i="1"/>
  <c r="E44" i="1"/>
  <c r="AU43" i="1"/>
  <c r="AT43" i="1"/>
  <c r="AS43" i="1"/>
  <c r="BD43" i="1"/>
  <c r="AY43" i="1"/>
  <c r="V43" i="1"/>
  <c r="Q43" i="1"/>
  <c r="M43" i="1"/>
  <c r="I43" i="1"/>
  <c r="E43" i="1"/>
  <c r="B43" i="3" s="1"/>
  <c r="AV42" i="1"/>
  <c r="BD42" i="1"/>
  <c r="AY42" i="1"/>
  <c r="V42" i="1"/>
  <c r="Q42" i="1"/>
  <c r="M42" i="1"/>
  <c r="I42" i="1"/>
  <c r="E42" i="1"/>
  <c r="D44" i="3" l="1"/>
  <c r="D53" i="3"/>
  <c r="BI86" i="2"/>
  <c r="BH65" i="2"/>
  <c r="BH71" i="2"/>
  <c r="BI88" i="2"/>
  <c r="BI90" i="2"/>
  <c r="BW90" i="2" s="1"/>
  <c r="BX90" i="2" s="1"/>
  <c r="F80" i="3"/>
  <c r="K86" i="3"/>
  <c r="BJ86" i="1"/>
  <c r="AW86" i="1"/>
  <c r="K94" i="3"/>
  <c r="BJ94" i="1"/>
  <c r="AR94" i="1"/>
  <c r="K77" i="3"/>
  <c r="BJ77" i="1"/>
  <c r="K101" i="3"/>
  <c r="BJ101" i="1"/>
  <c r="D71" i="3"/>
  <c r="K78" i="3"/>
  <c r="BJ78" i="1"/>
  <c r="F89" i="3"/>
  <c r="K96" i="3"/>
  <c r="BJ96" i="1"/>
  <c r="K102" i="3"/>
  <c r="BJ102" i="1"/>
  <c r="AQ83" i="2"/>
  <c r="AU83" i="2"/>
  <c r="AV83" i="2" s="1"/>
  <c r="BI83" i="2" s="1"/>
  <c r="BW83" i="2" s="1"/>
  <c r="BX83" i="2" s="1"/>
  <c r="AQ85" i="2"/>
  <c r="BW86" i="2"/>
  <c r="BX86" i="2" s="1"/>
  <c r="K98" i="3"/>
  <c r="BJ98" i="1"/>
  <c r="K95" i="3"/>
  <c r="BJ95" i="1"/>
  <c r="BJ75" i="1"/>
  <c r="K79" i="3"/>
  <c r="BJ79" i="1"/>
  <c r="K93" i="3"/>
  <c r="BJ93" i="1"/>
  <c r="AR93" i="1"/>
  <c r="K97" i="3"/>
  <c r="BJ97" i="1"/>
  <c r="AR97" i="1"/>
  <c r="AQ82" i="2"/>
  <c r="AQ84" i="2"/>
  <c r="AQ86" i="2"/>
  <c r="BI87" i="2"/>
  <c r="BI91" i="2"/>
  <c r="BW91" i="2" s="1"/>
  <c r="BX91" i="2" s="1"/>
  <c r="BH47" i="2"/>
  <c r="AU62" i="2"/>
  <c r="F61" i="3" s="1"/>
  <c r="AQ66" i="2"/>
  <c r="AU66" i="2"/>
  <c r="D62" i="3"/>
  <c r="D66" i="3"/>
  <c r="BH44" i="2"/>
  <c r="BH51" i="2"/>
  <c r="B42" i="3"/>
  <c r="D55" i="3"/>
  <c r="BH43" i="2"/>
  <c r="BH50" i="2"/>
  <c r="BH57" i="2"/>
  <c r="BV58" i="2"/>
  <c r="BH59" i="2"/>
  <c r="BH61" i="2"/>
  <c r="BH70" i="2"/>
  <c r="AV75" i="2"/>
  <c r="BI75" i="2" s="1"/>
  <c r="BW75" i="2" s="1"/>
  <c r="BX75" i="2" s="1"/>
  <c r="AV76" i="2"/>
  <c r="BI76" i="2" s="1"/>
  <c r="BW76" i="2" s="1"/>
  <c r="BX76" i="2" s="1"/>
  <c r="AU57" i="2"/>
  <c r="F59" i="3"/>
  <c r="AP61" i="2"/>
  <c r="D60" i="3" s="1"/>
  <c r="AV74" i="2"/>
  <c r="BI74" i="2" s="1"/>
  <c r="BW74" i="2" s="1"/>
  <c r="BX74" i="2" s="1"/>
  <c r="F42" i="3"/>
  <c r="D48" i="3"/>
  <c r="F43" i="3"/>
  <c r="BH46" i="2"/>
  <c r="BH53" i="2"/>
  <c r="BV72" i="2"/>
  <c r="AV77" i="2"/>
  <c r="BI77" i="2" s="1"/>
  <c r="BW77" i="2" s="1"/>
  <c r="BX77" i="2" s="1"/>
  <c r="D59" i="3"/>
  <c r="AQ57" i="2"/>
  <c r="V65" i="2"/>
  <c r="D42" i="3"/>
  <c r="D50" i="3"/>
  <c r="D51" i="3"/>
  <c r="D54" i="3"/>
  <c r="F54" i="3"/>
  <c r="B56" i="3"/>
  <c r="B58" i="3"/>
  <c r="B61" i="3"/>
  <c r="D68" i="3"/>
  <c r="B69" i="3"/>
  <c r="AQ54" i="2"/>
  <c r="BH54" i="2"/>
  <c r="BH58" i="2"/>
  <c r="BV59" i="2"/>
  <c r="AU61" i="2"/>
  <c r="AU68" i="2"/>
  <c r="V69" i="2"/>
  <c r="V70" i="2"/>
  <c r="AQ70" i="2"/>
  <c r="BH72" i="2"/>
  <c r="F49" i="3"/>
  <c r="B64" i="3"/>
  <c r="AQ44" i="2"/>
  <c r="AQ46" i="2"/>
  <c r="BV46" i="2"/>
  <c r="BV50" i="2"/>
  <c r="V53" i="2"/>
  <c r="BH66" i="2"/>
  <c r="AU67" i="2"/>
  <c r="BH68" i="2"/>
  <c r="AU84" i="2"/>
  <c r="AV84" i="2" s="1"/>
  <c r="BI84" i="2" s="1"/>
  <c r="BW84" i="2" s="1"/>
  <c r="BX84" i="2" s="1"/>
  <c r="BH73" i="2"/>
  <c r="V88" i="2"/>
  <c r="AQ89" i="2"/>
  <c r="AU89" i="2"/>
  <c r="AV89" i="2" s="1"/>
  <c r="BI89" i="2" s="1"/>
  <c r="BW89" i="2" s="1"/>
  <c r="E60" i="3"/>
  <c r="C63" i="3"/>
  <c r="E63" i="3"/>
  <c r="C70" i="3"/>
  <c r="E70" i="3"/>
  <c r="C46" i="3"/>
  <c r="C49" i="3"/>
  <c r="C55" i="3"/>
  <c r="E52" i="3"/>
  <c r="E67" i="3"/>
  <c r="D76" i="3"/>
  <c r="AR87" i="1"/>
  <c r="C72" i="3"/>
  <c r="E72" i="3"/>
  <c r="H101" i="3"/>
  <c r="E75" i="3"/>
  <c r="AW75" i="1"/>
  <c r="BK75" i="1" s="1"/>
  <c r="AW79" i="1"/>
  <c r="BK79" i="1" s="1"/>
  <c r="C54" i="3"/>
  <c r="AQ65" i="2"/>
  <c r="BI42" i="1"/>
  <c r="BI43" i="1"/>
  <c r="G43" i="3" s="1"/>
  <c r="W44" i="1"/>
  <c r="W47" i="1"/>
  <c r="B49" i="3"/>
  <c r="BI50" i="1"/>
  <c r="G50" i="3" s="1"/>
  <c r="BI51" i="1"/>
  <c r="G51" i="3" s="1"/>
  <c r="W52" i="1"/>
  <c r="W53" i="1"/>
  <c r="AV59" i="1"/>
  <c r="W62" i="1"/>
  <c r="W63" i="1"/>
  <c r="W64" i="1"/>
  <c r="W65" i="1"/>
  <c r="W66" i="1"/>
  <c r="BI69" i="1"/>
  <c r="G69" i="3" s="1"/>
  <c r="W70" i="1"/>
  <c r="W72" i="1"/>
  <c r="R85" i="1"/>
  <c r="B85" i="3"/>
  <c r="C85" i="3" s="1"/>
  <c r="C42" i="3"/>
  <c r="C44" i="3"/>
  <c r="E46" i="3"/>
  <c r="E49" i="3"/>
  <c r="C51" i="3"/>
  <c r="V55" i="2"/>
  <c r="E54" i="3"/>
  <c r="V56" i="2"/>
  <c r="E55" i="3"/>
  <c r="C59" i="3"/>
  <c r="E59" i="3"/>
  <c r="AQ61" i="2"/>
  <c r="C61" i="3"/>
  <c r="E61" i="3"/>
  <c r="C62" i="3"/>
  <c r="E62" i="3"/>
  <c r="BH63" i="2"/>
  <c r="V64" i="2"/>
  <c r="AU64" i="2"/>
  <c r="BH64" i="2"/>
  <c r="V66" i="2"/>
  <c r="V67" i="2"/>
  <c r="V68" i="2"/>
  <c r="AQ68" i="2"/>
  <c r="BV69" i="2"/>
  <c r="V71" i="2"/>
  <c r="AQ71" i="2"/>
  <c r="BM72" i="2"/>
  <c r="BR72" i="2" s="1"/>
  <c r="AU73" i="2"/>
  <c r="AW78" i="1"/>
  <c r="BK78" i="1" s="1"/>
  <c r="C67" i="3"/>
  <c r="H96" i="3"/>
  <c r="J96" i="3" s="1"/>
  <c r="D78" i="3"/>
  <c r="E78" i="3" s="1"/>
  <c r="W46" i="1"/>
  <c r="BI48" i="1"/>
  <c r="G48" i="3" s="1"/>
  <c r="BI54" i="1"/>
  <c r="G54" i="3" s="1"/>
  <c r="W55" i="1"/>
  <c r="W57" i="1"/>
  <c r="W59" i="1"/>
  <c r="B70" i="3"/>
  <c r="BI70" i="1"/>
  <c r="W71" i="1"/>
  <c r="BI72" i="1"/>
  <c r="R84" i="1"/>
  <c r="AR84" i="1" s="1"/>
  <c r="H86" i="3"/>
  <c r="AQ88" i="1"/>
  <c r="E42" i="3"/>
  <c r="C43" i="3"/>
  <c r="V45" i="2"/>
  <c r="E44" i="3"/>
  <c r="C45" i="3"/>
  <c r="AQ47" i="2"/>
  <c r="C47" i="3"/>
  <c r="C48" i="3"/>
  <c r="AQ50" i="2"/>
  <c r="C50" i="3"/>
  <c r="E51" i="3"/>
  <c r="C53" i="3"/>
  <c r="C56" i="3"/>
  <c r="C57" i="3"/>
  <c r="AU58" i="2"/>
  <c r="F57" i="3" s="1"/>
  <c r="C58" i="3"/>
  <c r="AU59" i="2"/>
  <c r="V60" i="2"/>
  <c r="C60" i="3"/>
  <c r="AQ62" i="2"/>
  <c r="BH62" i="2"/>
  <c r="AU63" i="2"/>
  <c r="AU65" i="2"/>
  <c r="BV67" i="2"/>
  <c r="BV68" i="2"/>
  <c r="C68" i="3"/>
  <c r="E68" i="3"/>
  <c r="BH69" i="2"/>
  <c r="AU70" i="2"/>
  <c r="BV71" i="2"/>
  <c r="C71" i="3"/>
  <c r="E71" i="3"/>
  <c r="V73" i="2"/>
  <c r="BV73" i="2"/>
  <c r="H98" i="3"/>
  <c r="H78" i="3"/>
  <c r="J78" i="3" s="1"/>
  <c r="AR76" i="1"/>
  <c r="D74" i="3"/>
  <c r="R74" i="1"/>
  <c r="AR74" i="1" s="1"/>
  <c r="AR85" i="1"/>
  <c r="H102" i="3"/>
  <c r="W42" i="1"/>
  <c r="W43" i="1"/>
  <c r="B46" i="3"/>
  <c r="F47" i="3"/>
  <c r="W50" i="1"/>
  <c r="W51" i="1"/>
  <c r="W54" i="1"/>
  <c r="W60" i="1"/>
  <c r="W67" i="1"/>
  <c r="W68" i="1"/>
  <c r="D72" i="3"/>
  <c r="D73" i="3"/>
  <c r="J91" i="3"/>
  <c r="AQ43" i="2"/>
  <c r="G42" i="3"/>
  <c r="E43" i="3"/>
  <c r="AQ45" i="2"/>
  <c r="BH45" i="2"/>
  <c r="E45" i="3"/>
  <c r="V48" i="2"/>
  <c r="E47" i="3"/>
  <c r="V49" i="2"/>
  <c r="E48" i="3"/>
  <c r="V51" i="2"/>
  <c r="E50" i="3"/>
  <c r="AQ52" i="2"/>
  <c r="BH52" i="2"/>
  <c r="C52" i="3"/>
  <c r="E53" i="3"/>
  <c r="E56" i="3"/>
  <c r="BV57" i="2"/>
  <c r="AQ58" i="2"/>
  <c r="E57" i="3"/>
  <c r="AQ59" i="2"/>
  <c r="E58" i="3"/>
  <c r="BH60" i="2"/>
  <c r="V61" i="2"/>
  <c r="V62" i="2"/>
  <c r="V63" i="2"/>
  <c r="C64" i="3"/>
  <c r="E64" i="3"/>
  <c r="C65" i="3"/>
  <c r="E65" i="3"/>
  <c r="C66" i="3"/>
  <c r="E66" i="3"/>
  <c r="BH67" i="2"/>
  <c r="AU69" i="2"/>
  <c r="C69" i="3"/>
  <c r="E69" i="3"/>
  <c r="AU71" i="2"/>
  <c r="AU72" i="2"/>
  <c r="BM73" i="2"/>
  <c r="AU82" i="2"/>
  <c r="AV82" i="2" s="1"/>
  <c r="BI82" i="2" s="1"/>
  <c r="BW82" i="2" s="1"/>
  <c r="BX82" i="2" s="1"/>
  <c r="H95" i="3"/>
  <c r="D75" i="3"/>
  <c r="D77" i="3"/>
  <c r="E77" i="3" s="1"/>
  <c r="E74" i="3"/>
  <c r="D79" i="3"/>
  <c r="E79" i="3" s="1"/>
  <c r="E76" i="3"/>
  <c r="J99" i="3"/>
  <c r="B45" i="3"/>
  <c r="B48" i="3"/>
  <c r="D67" i="3"/>
  <c r="V44" i="2"/>
  <c r="AQ53" i="2"/>
  <c r="AQ60" i="2"/>
  <c r="AQ64" i="2"/>
  <c r="V72" i="2"/>
  <c r="V43" i="2"/>
  <c r="BH48" i="2"/>
  <c r="AQ49" i="2"/>
  <c r="BH49" i="2"/>
  <c r="BH55" i="2"/>
  <c r="AQ56" i="2"/>
  <c r="BH56" i="2"/>
  <c r="V58" i="2"/>
  <c r="V59" i="2"/>
  <c r="AQ63" i="2"/>
  <c r="AQ67" i="2"/>
  <c r="AQ69" i="2"/>
  <c r="AQ73" i="2"/>
  <c r="V89" i="2"/>
  <c r="I78" i="3"/>
  <c r="B51" i="3"/>
  <c r="V46" i="2"/>
  <c r="V47" i="2"/>
  <c r="AQ48" i="2"/>
  <c r="BV48" i="2"/>
  <c r="V50" i="2"/>
  <c r="AQ51" i="2"/>
  <c r="V52" i="2"/>
  <c r="V54" i="2"/>
  <c r="AQ55" i="2"/>
  <c r="BV55" i="2"/>
  <c r="V57" i="2"/>
  <c r="G61" i="3"/>
  <c r="G65" i="3"/>
  <c r="AQ72" i="2"/>
  <c r="H75" i="3"/>
  <c r="J75" i="3" s="1"/>
  <c r="I76" i="3"/>
  <c r="G60" i="3"/>
  <c r="G67" i="3"/>
  <c r="G70" i="3"/>
  <c r="I77" i="3"/>
  <c r="B44" i="3"/>
  <c r="D45" i="3"/>
  <c r="B47" i="3"/>
  <c r="D49" i="3"/>
  <c r="D56" i="3"/>
  <c r="D58" i="3"/>
  <c r="B62" i="3"/>
  <c r="B63" i="3"/>
  <c r="D69" i="3"/>
  <c r="B72" i="3"/>
  <c r="H76" i="3"/>
  <c r="J76" i="3" s="1"/>
  <c r="G63" i="3"/>
  <c r="V87" i="2"/>
  <c r="H93" i="3"/>
  <c r="H97" i="3"/>
  <c r="G64" i="3"/>
  <c r="D47" i="3"/>
  <c r="D52" i="3"/>
  <c r="B55" i="3"/>
  <c r="B59" i="3"/>
  <c r="D63" i="3"/>
  <c r="D64" i="3"/>
  <c r="D70" i="3"/>
  <c r="G59" i="3"/>
  <c r="G62" i="3"/>
  <c r="G66" i="3"/>
  <c r="G68" i="3"/>
  <c r="H94" i="3"/>
  <c r="D43" i="3"/>
  <c r="F73" i="3"/>
  <c r="AW77" i="1"/>
  <c r="BK77" i="1" s="1"/>
  <c r="I74" i="3"/>
  <c r="V86" i="2"/>
  <c r="V85" i="2"/>
  <c r="AV61" i="1"/>
  <c r="AV57" i="1"/>
  <c r="AV47" i="1"/>
  <c r="BI49" i="1"/>
  <c r="G49" i="3" s="1"/>
  <c r="AV51" i="1"/>
  <c r="BI52" i="1"/>
  <c r="G52" i="3" s="1"/>
  <c r="BI53" i="1"/>
  <c r="G53" i="3" s="1"/>
  <c r="R57" i="1"/>
  <c r="AR57" i="1" s="1"/>
  <c r="BI71" i="1"/>
  <c r="AA72" i="1"/>
  <c r="AV72" i="1"/>
  <c r="AV60" i="1"/>
  <c r="AV70" i="1"/>
  <c r="AV43" i="1"/>
  <c r="AV49" i="1"/>
  <c r="R53" i="1"/>
  <c r="AR53" i="1" s="1"/>
  <c r="AV55" i="1"/>
  <c r="AV67" i="1"/>
  <c r="AV69" i="1"/>
  <c r="B53" i="3"/>
  <c r="AA63" i="1"/>
  <c r="AV65" i="1"/>
  <c r="AA69" i="1"/>
  <c r="B57" i="3"/>
  <c r="AA67" i="1"/>
  <c r="AA68" i="1"/>
  <c r="R71" i="1"/>
  <c r="AA83" i="1"/>
  <c r="F83" i="3" s="1"/>
  <c r="AV53" i="1"/>
  <c r="R56" i="1"/>
  <c r="AR56" i="1" s="1"/>
  <c r="AV58" i="1"/>
  <c r="AA62" i="1"/>
  <c r="AV62" i="1"/>
  <c r="AV63" i="1"/>
  <c r="AV64" i="1"/>
  <c r="AA66" i="1"/>
  <c r="AV68" i="1"/>
  <c r="B71" i="3"/>
  <c r="F45" i="3"/>
  <c r="R49" i="1"/>
  <c r="AR49" i="1" s="1"/>
  <c r="R52" i="1"/>
  <c r="AR52" i="1" s="1"/>
  <c r="R60" i="1"/>
  <c r="AR60" i="1" s="1"/>
  <c r="AV45" i="1"/>
  <c r="R46" i="1"/>
  <c r="AR46" i="1" s="1"/>
  <c r="R48" i="1"/>
  <c r="AR48" i="1" s="1"/>
  <c r="AV54" i="1"/>
  <c r="R55" i="1"/>
  <c r="AR55" i="1" s="1"/>
  <c r="R61" i="1"/>
  <c r="AR61" i="1" s="1"/>
  <c r="AA65" i="1"/>
  <c r="R68" i="1"/>
  <c r="AA71" i="1"/>
  <c r="AR71" i="1" s="1"/>
  <c r="AA82" i="1"/>
  <c r="R83" i="1"/>
  <c r="AR83" i="1" s="1"/>
  <c r="B83" i="3"/>
  <c r="C83" i="3" s="1"/>
  <c r="AA88" i="1"/>
  <c r="R59" i="1"/>
  <c r="AR59" i="1" s="1"/>
  <c r="R63" i="1"/>
  <c r="R69" i="1"/>
  <c r="R72" i="1"/>
  <c r="B81" i="3"/>
  <c r="C81" i="3" s="1"/>
  <c r="R81" i="1"/>
  <c r="R44" i="1"/>
  <c r="AR44" i="1" s="1"/>
  <c r="R54" i="1"/>
  <c r="AR54" i="1" s="1"/>
  <c r="F56" i="3"/>
  <c r="R62" i="1"/>
  <c r="R64" i="1"/>
  <c r="R70" i="1"/>
  <c r="R42" i="1"/>
  <c r="AR42" i="1" s="1"/>
  <c r="R45" i="1"/>
  <c r="AR45" i="1" s="1"/>
  <c r="R50" i="1"/>
  <c r="AR50" i="1" s="1"/>
  <c r="AV56" i="1"/>
  <c r="AA64" i="1"/>
  <c r="R66" i="1"/>
  <c r="AA70" i="1"/>
  <c r="AA81" i="1"/>
  <c r="R82" i="1"/>
  <c r="AR82" i="1" s="1"/>
  <c r="B82" i="3"/>
  <c r="C82" i="3" s="1"/>
  <c r="R88" i="1"/>
  <c r="B88" i="3"/>
  <c r="C88" i="3" s="1"/>
  <c r="B89" i="3"/>
  <c r="C89" i="3" s="1"/>
  <c r="R89" i="1"/>
  <c r="R43" i="1"/>
  <c r="AR43" i="1" s="1"/>
  <c r="R47" i="1"/>
  <c r="AR47" i="1" s="1"/>
  <c r="R51" i="1"/>
  <c r="AR51" i="1" s="1"/>
  <c r="R58" i="1"/>
  <c r="AR58" i="1" s="1"/>
  <c r="R65" i="1"/>
  <c r="R67" i="1"/>
  <c r="F87" i="3"/>
  <c r="R90" i="1"/>
  <c r="B90" i="3"/>
  <c r="C90" i="3" s="1"/>
  <c r="B66" i="3"/>
  <c r="B68" i="3"/>
  <c r="R80" i="1"/>
  <c r="D80" i="3"/>
  <c r="E80" i="3" s="1"/>
  <c r="F86" i="3"/>
  <c r="R73" i="1"/>
  <c r="F84" i="3"/>
  <c r="F85" i="3"/>
  <c r="V83" i="2"/>
  <c r="I75" i="3" l="1"/>
  <c r="F81" i="3"/>
  <c r="K75" i="3"/>
  <c r="BJ45" i="1"/>
  <c r="BJ48" i="1"/>
  <c r="K84" i="3"/>
  <c r="BJ84" i="1"/>
  <c r="BJ51" i="1"/>
  <c r="BJ42" i="1"/>
  <c r="AW42" i="1"/>
  <c r="BK42" i="1" s="1"/>
  <c r="BJ46" i="1"/>
  <c r="K85" i="3"/>
  <c r="BJ85" i="1"/>
  <c r="K87" i="3"/>
  <c r="BJ87" i="1"/>
  <c r="AW87" i="1"/>
  <c r="BJ47" i="1"/>
  <c r="BJ54" i="1"/>
  <c r="BJ71" i="1"/>
  <c r="BJ55" i="1"/>
  <c r="K74" i="3"/>
  <c r="BJ74" i="1"/>
  <c r="BJ58" i="1"/>
  <c r="K83" i="3"/>
  <c r="BJ83" i="1"/>
  <c r="BJ52" i="1"/>
  <c r="AW52" i="1"/>
  <c r="BK52" i="1" s="1"/>
  <c r="K82" i="3"/>
  <c r="BJ82" i="1"/>
  <c r="BJ59" i="1"/>
  <c r="K61" i="3"/>
  <c r="BJ61" i="1"/>
  <c r="BJ49" i="1"/>
  <c r="BJ53" i="1"/>
  <c r="BJ57" i="1"/>
  <c r="K76" i="3"/>
  <c r="BJ76" i="1"/>
  <c r="BX89" i="2"/>
  <c r="BV89" i="2"/>
  <c r="AV44" i="2"/>
  <c r="BI44" i="2" s="1"/>
  <c r="BW44" i="2" s="1"/>
  <c r="BX44" i="2" s="1"/>
  <c r="BJ43" i="1"/>
  <c r="BJ50" i="1"/>
  <c r="BJ44" i="1"/>
  <c r="BJ60" i="1"/>
  <c r="BJ56" i="1"/>
  <c r="H74" i="3"/>
  <c r="J74" i="3" s="1"/>
  <c r="AV60" i="2"/>
  <c r="BI60" i="2" s="1"/>
  <c r="BW60" i="2" s="1"/>
  <c r="BX60" i="2" s="1"/>
  <c r="BR73" i="2"/>
  <c r="G72" i="3" s="1"/>
  <c r="H87" i="3"/>
  <c r="I79" i="3"/>
  <c r="H79" i="3"/>
  <c r="AV46" i="2"/>
  <c r="BI46" i="2" s="1"/>
  <c r="BW46" i="2" s="1"/>
  <c r="BX46" i="2" s="1"/>
  <c r="AV62" i="2"/>
  <c r="BI62" i="2" s="1"/>
  <c r="BW62" i="2" s="1"/>
  <c r="BX62" i="2" s="1"/>
  <c r="AV63" i="2"/>
  <c r="BI63" i="2" s="1"/>
  <c r="BW63" i="2" s="1"/>
  <c r="BX63" i="2" s="1"/>
  <c r="AV67" i="2"/>
  <c r="BI67" i="2" s="1"/>
  <c r="BW67" i="2" s="1"/>
  <c r="BX67" i="2" s="1"/>
  <c r="AV53" i="2"/>
  <c r="BI53" i="2" s="1"/>
  <c r="BW53" i="2" s="1"/>
  <c r="BX53" i="2" s="1"/>
  <c r="AV71" i="2"/>
  <c r="BI71" i="2" s="1"/>
  <c r="BW71" i="2" s="1"/>
  <c r="BX71" i="2" s="1"/>
  <c r="AV52" i="2"/>
  <c r="BI52" i="2" s="1"/>
  <c r="BW52" i="2" s="1"/>
  <c r="BX52" i="2" s="1"/>
  <c r="AV70" i="2"/>
  <c r="BI70" i="2" s="1"/>
  <c r="BW70" i="2" s="1"/>
  <c r="BX70" i="2" s="1"/>
  <c r="F58" i="3"/>
  <c r="AV59" i="2"/>
  <c r="BI59" i="2" s="1"/>
  <c r="BW59" i="2" s="1"/>
  <c r="BX59" i="2" s="1"/>
  <c r="AV64" i="2"/>
  <c r="BI64" i="2" s="1"/>
  <c r="BW64" i="2" s="1"/>
  <c r="BX64" i="2" s="1"/>
  <c r="AV68" i="2"/>
  <c r="BI68" i="2" s="1"/>
  <c r="BW68" i="2" s="1"/>
  <c r="BX68" i="2" s="1"/>
  <c r="AV66" i="2"/>
  <c r="BI66" i="2" s="1"/>
  <c r="BW66" i="2" s="1"/>
  <c r="BX66" i="2" s="1"/>
  <c r="AV69" i="2"/>
  <c r="BI69" i="2" s="1"/>
  <c r="BW69" i="2" s="1"/>
  <c r="BX69" i="2" s="1"/>
  <c r="AV47" i="2"/>
  <c r="BI47" i="2" s="1"/>
  <c r="BW47" i="2" s="1"/>
  <c r="BX47" i="2" s="1"/>
  <c r="AV51" i="2"/>
  <c r="BI51" i="2" s="1"/>
  <c r="BW51" i="2" s="1"/>
  <c r="BX51" i="2" s="1"/>
  <c r="AV49" i="2"/>
  <c r="BI49" i="2" s="1"/>
  <c r="BW49" i="2" s="1"/>
  <c r="BX49" i="2" s="1"/>
  <c r="AV45" i="2"/>
  <c r="BI45" i="2" s="1"/>
  <c r="BW45" i="2" s="1"/>
  <c r="BX45" i="2" s="1"/>
  <c r="F60" i="3"/>
  <c r="AV61" i="2"/>
  <c r="BI61" i="2" s="1"/>
  <c r="BW61" i="2" s="1"/>
  <c r="BX61" i="2" s="1"/>
  <c r="AV54" i="2"/>
  <c r="BI54" i="2" s="1"/>
  <c r="BW54" i="2" s="1"/>
  <c r="BX54" i="2" s="1"/>
  <c r="AV48" i="2"/>
  <c r="BI48" i="2" s="1"/>
  <c r="BW48" i="2" s="1"/>
  <c r="BX48" i="2" s="1"/>
  <c r="AV57" i="2"/>
  <c r="BI57" i="2" s="1"/>
  <c r="BW57" i="2" s="1"/>
  <c r="BX57" i="2" s="1"/>
  <c r="AV55" i="2"/>
  <c r="BI55" i="2" s="1"/>
  <c r="BW55" i="2" s="1"/>
  <c r="BX55" i="2" s="1"/>
  <c r="AV50" i="2"/>
  <c r="BI50" i="2" s="1"/>
  <c r="BW50" i="2" s="1"/>
  <c r="BX50" i="2" s="1"/>
  <c r="AV72" i="2"/>
  <c r="BI72" i="2" s="1"/>
  <c r="BW72" i="2" s="1"/>
  <c r="BX72" i="2" s="1"/>
  <c r="AV43" i="2"/>
  <c r="BI43" i="2" s="1"/>
  <c r="BW43" i="2" s="1"/>
  <c r="BX43" i="2" s="1"/>
  <c r="AV56" i="2"/>
  <c r="BI56" i="2" s="1"/>
  <c r="BW56" i="2" s="1"/>
  <c r="BX56" i="2" s="1"/>
  <c r="AV65" i="2"/>
  <c r="BI65" i="2" s="1"/>
  <c r="BW65" i="2" s="1"/>
  <c r="BX65" i="2" s="1"/>
  <c r="AV58" i="2"/>
  <c r="BI58" i="2" s="1"/>
  <c r="BW58" i="2" s="1"/>
  <c r="BX58" i="2" s="1"/>
  <c r="AV73" i="2"/>
  <c r="BI73" i="2" s="1"/>
  <c r="BW73" i="2" s="1"/>
  <c r="BX73" i="2" s="1"/>
  <c r="J101" i="3"/>
  <c r="AR88" i="1"/>
  <c r="AR70" i="1"/>
  <c r="AR68" i="1"/>
  <c r="F69" i="3"/>
  <c r="AR81" i="1"/>
  <c r="AR65" i="1"/>
  <c r="AR64" i="1"/>
  <c r="J98" i="3"/>
  <c r="J95" i="3"/>
  <c r="AW84" i="1"/>
  <c r="AW47" i="1"/>
  <c r="BK47" i="1" s="1"/>
  <c r="AW82" i="1"/>
  <c r="AW59" i="1"/>
  <c r="BK59" i="1" s="1"/>
  <c r="AW61" i="1"/>
  <c r="BK61" i="1" s="1"/>
  <c r="AW49" i="1"/>
  <c r="BK49" i="1" s="1"/>
  <c r="AR67" i="1"/>
  <c r="AR63" i="1"/>
  <c r="AW85" i="1"/>
  <c r="AW76" i="1"/>
  <c r="BK76" i="1" s="1"/>
  <c r="G71" i="3"/>
  <c r="AW51" i="1"/>
  <c r="BK51" i="1" s="1"/>
  <c r="AW45" i="1"/>
  <c r="BK45" i="1" s="1"/>
  <c r="AW83" i="1"/>
  <c r="AW56" i="1"/>
  <c r="BK56" i="1" s="1"/>
  <c r="J87" i="3"/>
  <c r="AW43" i="1"/>
  <c r="BK43" i="1" s="1"/>
  <c r="AW54" i="1"/>
  <c r="BK54" i="1" s="1"/>
  <c r="AW71" i="1"/>
  <c r="BK71" i="1" s="1"/>
  <c r="AW55" i="1"/>
  <c r="BK55" i="1" s="1"/>
  <c r="AR62" i="1"/>
  <c r="AW53" i="1"/>
  <c r="BK53" i="1" s="1"/>
  <c r="AW57" i="1"/>
  <c r="BK57" i="1" s="1"/>
  <c r="AR73" i="1"/>
  <c r="AW74" i="1"/>
  <c r="BK74" i="1" s="1"/>
  <c r="J86" i="3"/>
  <c r="AR89" i="1"/>
  <c r="AW81" i="1"/>
  <c r="AW68" i="1"/>
  <c r="BK68" i="1" s="1"/>
  <c r="AR80" i="1"/>
  <c r="AR90" i="1"/>
  <c r="H90" i="3" s="1"/>
  <c r="J90" i="3" s="1"/>
  <c r="AW58" i="1"/>
  <c r="BK58" i="1" s="1"/>
  <c r="AW60" i="1"/>
  <c r="BK60" i="1" s="1"/>
  <c r="AR69" i="1"/>
  <c r="J102" i="3"/>
  <c r="J79" i="3"/>
  <c r="J94" i="3"/>
  <c r="J97" i="3"/>
  <c r="J93" i="3"/>
  <c r="H77" i="3"/>
  <c r="J77" i="3" s="1"/>
  <c r="F72" i="3"/>
  <c r="AR72" i="1"/>
  <c r="F68" i="3"/>
  <c r="F63" i="3"/>
  <c r="F66" i="3"/>
  <c r="AR66" i="1"/>
  <c r="I42" i="3"/>
  <c r="I48" i="3"/>
  <c r="I57" i="3"/>
  <c r="H57" i="3"/>
  <c r="J57" i="3" s="1"/>
  <c r="H53" i="3"/>
  <c r="J53" i="3" s="1"/>
  <c r="H51" i="3"/>
  <c r="J51" i="3" s="1"/>
  <c r="I44" i="3"/>
  <c r="I60" i="3"/>
  <c r="F62" i="3"/>
  <c r="F67" i="3"/>
  <c r="F65" i="3"/>
  <c r="H82" i="3"/>
  <c r="F64" i="3"/>
  <c r="F70" i="3"/>
  <c r="F82" i="3"/>
  <c r="F88" i="3"/>
  <c r="F71" i="3"/>
  <c r="H83" i="3"/>
  <c r="H60" i="3" l="1"/>
  <c r="J60" i="3" s="1"/>
  <c r="I53" i="3"/>
  <c r="I59" i="3"/>
  <c r="K60" i="3"/>
  <c r="K53" i="3"/>
  <c r="H55" i="3"/>
  <c r="J55" i="3" s="1"/>
  <c r="I52" i="3"/>
  <c r="K48" i="3"/>
  <c r="K50" i="3"/>
  <c r="K64" i="3"/>
  <c r="BJ64" i="1"/>
  <c r="K68" i="3"/>
  <c r="BJ68" i="1"/>
  <c r="K46" i="3"/>
  <c r="I56" i="3"/>
  <c r="K72" i="3"/>
  <c r="BJ72" i="1"/>
  <c r="K69" i="3"/>
  <c r="BJ69" i="1"/>
  <c r="AW65" i="1"/>
  <c r="BK65" i="1" s="1"/>
  <c r="K65" i="3"/>
  <c r="BJ65" i="1"/>
  <c r="K47" i="3"/>
  <c r="K51" i="3"/>
  <c r="H44" i="3"/>
  <c r="J44" i="3" s="1"/>
  <c r="H61" i="3"/>
  <c r="J61" i="3" s="1"/>
  <c r="H56" i="3"/>
  <c r="J56" i="3" s="1"/>
  <c r="K89" i="3"/>
  <c r="BJ89" i="1"/>
  <c r="AW89" i="1"/>
  <c r="K67" i="3"/>
  <c r="BJ67" i="1"/>
  <c r="AW64" i="1"/>
  <c r="BK64" i="1" s="1"/>
  <c r="K81" i="3"/>
  <c r="BJ81" i="1"/>
  <c r="K88" i="3"/>
  <c r="BJ88" i="1"/>
  <c r="AW88" i="1"/>
  <c r="K57" i="3"/>
  <c r="K49" i="3"/>
  <c r="K59" i="3"/>
  <c r="K62" i="3"/>
  <c r="BJ62" i="1"/>
  <c r="H59" i="3"/>
  <c r="J59" i="3" s="1"/>
  <c r="K66" i="3"/>
  <c r="BJ66" i="1"/>
  <c r="K90" i="3"/>
  <c r="BJ90" i="1"/>
  <c r="AW90" i="1"/>
  <c r="H73" i="3"/>
  <c r="J73" i="3" s="1"/>
  <c r="K73" i="3"/>
  <c r="BJ73" i="1"/>
  <c r="K63" i="3"/>
  <c r="BJ63" i="1"/>
  <c r="K70" i="3"/>
  <c r="BJ70" i="1"/>
  <c r="K71" i="3"/>
  <c r="I73" i="3"/>
  <c r="I51" i="3"/>
  <c r="I61" i="3"/>
  <c r="H42" i="3"/>
  <c r="J42" i="3" s="1"/>
  <c r="AW70" i="1"/>
  <c r="BK70" i="1" s="1"/>
  <c r="K80" i="3"/>
  <c r="BJ80" i="1"/>
  <c r="K56" i="3"/>
  <c r="K44" i="3"/>
  <c r="K43" i="3"/>
  <c r="K52" i="3"/>
  <c r="K58" i="3"/>
  <c r="K55" i="3"/>
  <c r="K54" i="3"/>
  <c r="K42" i="3"/>
  <c r="K45" i="3"/>
  <c r="H88" i="3"/>
  <c r="J88" i="3" s="1"/>
  <c r="H46" i="3"/>
  <c r="J46" i="3" s="1"/>
  <c r="H52" i="3"/>
  <c r="J52" i="3" s="1"/>
  <c r="I46" i="3"/>
  <c r="H85" i="3"/>
  <c r="H81" i="3"/>
  <c r="J81" i="3" s="1"/>
  <c r="I55" i="3"/>
  <c r="H48" i="3"/>
  <c r="J48" i="3" s="1"/>
  <c r="H89" i="3"/>
  <c r="AW66" i="1"/>
  <c r="BK66" i="1" s="1"/>
  <c r="AW72" i="1"/>
  <c r="BK72" i="1" s="1"/>
  <c r="AW80" i="1"/>
  <c r="AW73" i="1"/>
  <c r="BK73" i="1" s="1"/>
  <c r="AW69" i="1"/>
  <c r="BK69" i="1" s="1"/>
  <c r="H80" i="3"/>
  <c r="AW62" i="1"/>
  <c r="BK62" i="1" s="1"/>
  <c r="AW63" i="1"/>
  <c r="BK63" i="1" s="1"/>
  <c r="AW67" i="1"/>
  <c r="BK67" i="1" s="1"/>
  <c r="J83" i="3"/>
  <c r="J82" i="3"/>
  <c r="J85" i="3"/>
  <c r="H84" i="3"/>
  <c r="H68" i="3"/>
  <c r="J68" i="3" s="1"/>
  <c r="I68" i="3"/>
  <c r="H43" i="3"/>
  <c r="J43" i="3" s="1"/>
  <c r="I43" i="3"/>
  <c r="I50" i="3"/>
  <c r="H50" i="3"/>
  <c r="J50" i="3" s="1"/>
  <c r="I49" i="3"/>
  <c r="H49" i="3"/>
  <c r="J49" i="3" s="1"/>
  <c r="H47" i="3"/>
  <c r="J47" i="3" s="1"/>
  <c r="I47" i="3"/>
  <c r="H72" i="3"/>
  <c r="J72" i="3" s="1"/>
  <c r="I72" i="3"/>
  <c r="I54" i="3"/>
  <c r="H54" i="3"/>
  <c r="J54" i="3" s="1"/>
  <c r="I62" i="3"/>
  <c r="H62" i="3"/>
  <c r="J62" i="3" s="1"/>
  <c r="H63" i="3"/>
  <c r="J63" i="3" s="1"/>
  <c r="I63" i="3"/>
  <c r="H67" i="3"/>
  <c r="J67" i="3" s="1"/>
  <c r="I67" i="3"/>
  <c r="I69" i="3"/>
  <c r="H69" i="3"/>
  <c r="J69" i="3" s="1"/>
  <c r="I45" i="3"/>
  <c r="H45" i="3"/>
  <c r="J45" i="3" s="1"/>
  <c r="I58" i="3"/>
  <c r="H58" i="3"/>
  <c r="J58" i="3" s="1"/>
  <c r="J89" i="3" l="1"/>
  <c r="J80" i="3"/>
  <c r="J84" i="3"/>
  <c r="I70" i="3"/>
  <c r="H70" i="3"/>
  <c r="J70" i="3" s="1"/>
  <c r="H71" i="3"/>
  <c r="J71" i="3" s="1"/>
  <c r="I71" i="3"/>
  <c r="I66" i="3"/>
  <c r="H66" i="3"/>
  <c r="J66" i="3" s="1"/>
  <c r="H64" i="3"/>
  <c r="J64" i="3" s="1"/>
  <c r="I64" i="3"/>
  <c r="I65" i="3"/>
  <c r="H65" i="3"/>
  <c r="J6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Aileen</author>
  </authors>
  <commentList>
    <comment ref="BR2" authorId="0" shapeId="0" xr:uid="{00000000-0006-0000-0200-000001000000}">
      <text>
        <r>
          <rPr>
            <b/>
            <sz val="8"/>
            <color indexed="81"/>
            <rFont val="Tahoma"/>
            <family val="2"/>
          </rPr>
          <t>Aileen:</t>
        </r>
        <r>
          <rPr>
            <sz val="8"/>
            <color indexed="81"/>
            <rFont val="Tahoma"/>
            <family val="2"/>
          </rPr>
          <t xml:space="preserve">
Beware of double-counting the distribution costs pre-1954.
Distribution pre-1954 is included in Proc and Trans Costs for surplus/deficit calculation; but is also in BH and BP for purposes of comparison.</t>
        </r>
      </text>
    </comment>
  </commentList>
</comments>
</file>

<file path=xl/sharedStrings.xml><?xml version="1.0" encoding="utf-8"?>
<sst xmlns="http://schemas.openxmlformats.org/spreadsheetml/2006/main" count="456" uniqueCount="246">
  <si>
    <t>Year</t>
  </si>
  <si>
    <t>£</t>
  </si>
  <si>
    <t>s</t>
  </si>
  <si>
    <t>d</t>
  </si>
  <si>
    <t>Engraving</t>
  </si>
  <si>
    <t>Paper</t>
  </si>
  <si>
    <t>Proceedings</t>
  </si>
  <si>
    <t>Philosophical Transactions</t>
  </si>
  <si>
    <t>Source</t>
  </si>
  <si>
    <t>Yearbook</t>
  </si>
  <si>
    <t>Year Book</t>
  </si>
  <si>
    <t>Trustees' report and financial statements</t>
  </si>
  <si>
    <t>Year Book (1921), p.169</t>
  </si>
  <si>
    <t>Year Book (1931), p.185</t>
  </si>
  <si>
    <t xml:space="preserve">Year Book </t>
  </si>
  <si>
    <t>Commission on Sales</t>
  </si>
  <si>
    <t>Proc Distribution &amp; Postage</t>
  </si>
  <si>
    <t>Trans Distribution &amp; Postage</t>
  </si>
  <si>
    <t>AB/3/1/33 photo [NB figures now given in rounded £, no s.d.]</t>
  </si>
  <si>
    <t>AB/3/1/34 photo (year ending August 1968, NB change of financial year; these accounts only 11 months)</t>
  </si>
  <si>
    <t>Photo of AB/3/1/25 (year ending Sept 1959) (direct expenditure includes 'equipment') (There was also £13093 costs for reprinting Proc, which I have omitted from the totals)</t>
  </si>
  <si>
    <t>Expensive reprinting of Proc this year - but generates sales for next few years</t>
  </si>
  <si>
    <t>Photo of AB/3/1/32 (year ending Sept 1966) (I have ommited £5217 income from reprinted Proc sales)</t>
  </si>
  <si>
    <t>Photo of AB/3/1/26 (I have ommitte £16533 costs for reprinting Proc, but included costs for Newton Corresp and Brief History, because that's how the AB reports things)</t>
  </si>
  <si>
    <t>photo of AB/3/1/17 (I have ommitted £8814 income from sales of reprinted Proc; but included Newton Correspondence)</t>
  </si>
  <si>
    <t>Year Book (1961), p.282, Photo of AB/3/1/26 (year ending 30 Sept) (I have ommitted £8592 income from reprinted Proc; but included in Other, the income from Newton Corresp and Brief History - because that's how the accounts lay them out) Presumably Brief History was a tercentenary special thing</t>
  </si>
  <si>
    <t xml:space="preserve">Photo of AB/3/1/27 (I have ommitted £16511 costs for reprinting Proc, but included costs for Newton Corresp and Brief History, because that's how the AB reports things) </t>
  </si>
  <si>
    <t>TOTAL Distribution &amp; Postage (£)</t>
  </si>
  <si>
    <t>Costs of other publications £</t>
  </si>
  <si>
    <t>Royalties £</t>
  </si>
  <si>
    <t>Export rebates £</t>
  </si>
  <si>
    <t>Other movements on Pubs account £</t>
  </si>
  <si>
    <t>DECIMALISATION</t>
  </si>
  <si>
    <t>Year Book 1922, p.164 [also Ledger AB/2/2/ (for Proc - see separate sheet, too)]</t>
  </si>
  <si>
    <t>Yearbook 1923, p.170</t>
  </si>
  <si>
    <t>Year Book 1923, p.171; [Ledger AB/2/2/ (for Proc - see separate sheet, too)]</t>
  </si>
  <si>
    <t>(Listed) Proc Total Costs £</t>
  </si>
  <si>
    <t>Year Book 1924, p.178 [Ledger AB/2/2/ (for Proc - see separate sheet, too)]</t>
  </si>
  <si>
    <t>Year Book 1925, p.178 [Ledger AB/2/2/ (for Proc - see separate sheet, too)]</t>
  </si>
  <si>
    <t>Yearbook 1925, p178</t>
  </si>
  <si>
    <t>(Listed) Total Pubs Expenditure</t>
  </si>
  <si>
    <t>(Checksum) Total Publications Expenditure £</t>
  </si>
  <si>
    <t>Yearbook 1922 (NB Other Pubs= Yearbook)</t>
  </si>
  <si>
    <t>Year Book 1926, p178 [Ledger AB/2/2/ (for Proc - see separate sheet, too)]</t>
  </si>
  <si>
    <t>Year Book 1927, p178 [Ledger AB/2/2/ (for Proc - see separate sheet, too)]</t>
  </si>
  <si>
    <t>Year Book 1928, p178; Ledger AB/2/2/ (for Proc - see separate sheet, too)</t>
  </si>
  <si>
    <t>Yearbook 1928, p.178</t>
  </si>
  <si>
    <t>ICI GRANT</t>
  </si>
  <si>
    <t>Year Book 1929, P.182; Ledger AB/2/2/ (for Proc - see separate sheet, too)</t>
  </si>
  <si>
    <t>Year Book, 1930, P184; Ledger AB/2/2/ (for Proc - see separate sheet, too)</t>
  </si>
  <si>
    <t>Yearbook 1930, P184</t>
  </si>
  <si>
    <t>Year Book 1932, P.172</t>
  </si>
  <si>
    <t>Year Book 1933, P174</t>
  </si>
  <si>
    <t>Year Book 1934, P.178</t>
  </si>
  <si>
    <t>Year Book 1934, P178</t>
  </si>
  <si>
    <t>Finishing &amp; Binding</t>
  </si>
  <si>
    <t>Printing</t>
  </si>
  <si>
    <t>Year Book 1935, P203 (other=Obituary notices)</t>
  </si>
  <si>
    <t>Yearbook (Other=Yearbook, Other Direct=storage of publications)</t>
  </si>
  <si>
    <t>Year Book (1941), p.97 (Other Pubs=Abstracts; Obit Notices; Yearbook; N&amp;R; The Record) (Other costs=salaries, £10 insurance)</t>
  </si>
  <si>
    <t>Total Other Income £</t>
  </si>
  <si>
    <t>Year Book 1941, p.97 (Note, Other Income=Yearbook, Charter book, N&amp;R, and The Record; but these are listed separately from the journals managed by CUP and on which commission is charged; thus, are not in the Total Listed given here)</t>
  </si>
  <si>
    <t>Year Book 1942, p.99 (Other Pubs are again not inc in Total Income) (Obits, YB, Charters, N&amp;R, Record)</t>
  </si>
  <si>
    <t>Year Book (1942), p.99 (Other Pubs=Abstracts, Obits, YB, Chartes, N&amp;R) (Other Costs=salaries, insurance)</t>
  </si>
  <si>
    <t>Year Book (1943), p.97 (Other Pubs=Obits, YB, Charters, N&amp;R, Record - are are not in Total Pubs)</t>
  </si>
  <si>
    <t>Year Book (1943), p.97 (Other Pubs=Obits, YB, N&amp;R) (Other Costs=salaries, insurance)</t>
  </si>
  <si>
    <t>AB/3/3/1 photo (and YB1944, p.98) (Other Pubs= Obits, YB, Charters, N&amp;R, Record)</t>
  </si>
  <si>
    <t>AB/3/3/1 photo (and YB1944, p.98) (Other Pubs=only Obits and n&amp;R) (other costs=salaries and £10.9 insurance)</t>
  </si>
  <si>
    <t>Share of Govt Grant</t>
  </si>
  <si>
    <t>Fee Reduction (Pubs) Fund £</t>
  </si>
  <si>
    <t>Proc Sales £</t>
  </si>
  <si>
    <t>Misc sales income from the journals £</t>
  </si>
  <si>
    <t>Year Book (1946), p.133 (Other Pubs=Charters, Obits, YB Record, but no N&amp;R). No Messel/Mond transfer this year, but a balance of £380 carried forward from previous year, and balance grows this year</t>
  </si>
  <si>
    <t>Year Book (1947), p.144 (Other Pubs=Charters, Obits, YB Record, N&amp;R, Record). No Messel/Mond transfer this year, but a balance of £635 carried forward from previous year, and balance decreases this year</t>
  </si>
  <si>
    <t>Year Book (1947), p.144 (Other Pubs include N&amp;R, expensive Obits, YB) (Other costs=admin, salaries, insurance)</t>
  </si>
  <si>
    <t>Year Book (1946), p.133 (Other Pubs=only Obits and YB) (Other costs= new entry for Administration; salaries halved; insurance)</t>
  </si>
  <si>
    <t>Year Book (1945), p.102 (Other Pubs=onlyCharters, Obits and YB) (Other costs= salaries; insurance)</t>
  </si>
  <si>
    <t>Year Book (1945) p.102 (Other Pubs=Obits, YB, N&amp;R, Record. Not in Total Pubs). No Mond/Messel transfer needed, surplus balance of £380!</t>
  </si>
  <si>
    <t>Year Book (1948), p.159 (Other Pubs include N&amp;R, expensive Obits, Record, YB) (Other costs=admin, salaries, insurance)</t>
  </si>
  <si>
    <t>Year Book (1949), p.196 (Other Pubs=Charters, Obits, YB, Record, N&amp;R). Yarrow transfer needed to balance, £1880</t>
  </si>
  <si>
    <t>Year Book (1948), p.159 (Other Pubs=Charters, Obits, YB, Record, no N&amp;R). No Messel/Mond transfer this year, but deficit carried forward</t>
  </si>
  <si>
    <t>Year Book (1949), p.196 (Other Pubs include N&amp;R, Obits, YB) (Other costs=admin, salaries of £1728, insurance)</t>
  </si>
  <si>
    <t>Year Book (1950), p.201 (Other Pubs=Charters, Obits, YB, Record, N&amp;R). ICI grant is back to £1000. Surplus of £3,798</t>
  </si>
  <si>
    <t>Year Book (1951), p.211 (Other Pubs=Charters, Obits, YB, Record, N&amp;R). Balance brought forward of £3,798. Not much taken out of Govt Pubs Grant this year. Balance reduced, implies deficit?</t>
  </si>
  <si>
    <t>Year Book (1950), p.201 (Other Pubs include N&amp;R, Obits, YB) (Other costs=admin, salaries of £2350, i.e. much higher - new staff?, insurance)</t>
  </si>
  <si>
    <t>Year Book (1951), p.211 (Other Pubs include N&amp;R, Obits, YB) (Other costs=admin, salaries, insurance)</t>
  </si>
  <si>
    <t>Other Pubs surplus</t>
  </si>
  <si>
    <t>Total Pubs surplus (allowing grant income)</t>
  </si>
  <si>
    <t>Total Pubs surplus on sales-only</t>
  </si>
  <si>
    <t>Yearbook 1924 (Other Pubs=YB, which is listed separately from 'Publications')</t>
  </si>
  <si>
    <t>Yearbook 1926 (Other Pubs=YB, which is listed separately from 'Publications')</t>
  </si>
  <si>
    <t>Year Book 1936, p205, income includes balance of £226 brought forward</t>
  </si>
  <si>
    <t>Year Book 1933, p175</t>
  </si>
  <si>
    <t>Year Book 1935, P203 (now laid out with separate Publications Account - which doesn't include YB)</t>
  </si>
  <si>
    <t>Year Book 1936, p205 (other=Obituary notices, and I've included YB)</t>
  </si>
  <si>
    <t>Year Book (1937), p.215 (other Pubs = YB) NB ICI donation is smaller</t>
  </si>
  <si>
    <t>Year Book (1937), p.215 (Other Pubs=YB and Obits) Salaries!</t>
  </si>
  <si>
    <t>not counting YB</t>
  </si>
  <si>
    <t>Year Book (1938)p.240 [NOW IGNORING YB, as is clearly not being treated as part of Pubs account)</t>
  </si>
  <si>
    <t>Year Book (1938), p.240 [Other pubs=Obits, ignoring YB) (YB says this is year when Winckworth becomes Asst Editor; but also the Pubs Clerk resigns)</t>
  </si>
  <si>
    <t>Year Book (1938), p.250 (Other Pubs=Abstracts, Obits; not counting YB or N&amp;R)</t>
  </si>
  <si>
    <t>Year Book (1940), p.265 NB change of financial year: this 'year' has only 11 months; year now ending 30 Sept</t>
  </si>
  <si>
    <t>Year Book (1940), p.265, NB change of financial year, only 11 months</t>
  </si>
  <si>
    <t>Year Book (1939), p.250 Prices rose 50% in 1938… (No YB or N&amp;R, as they are in the General I&amp;O account, not Pubs I&amp;O; whereas Obits is different)</t>
  </si>
  <si>
    <t>AB/3/1/28</t>
  </si>
  <si>
    <t>AB/3/1/29</t>
  </si>
  <si>
    <t>AB/3/2/12 [Royalties are from microfilm]</t>
  </si>
  <si>
    <t>Photo of AB/3/2/12</t>
  </si>
  <si>
    <t>Year Book (1952), p.221 Balance brought forward was £2,238, became £3102 carried forward, implying a surplus year (Other Pubs=Charters, Obits, YB, Record, N&amp;R) (NOTE: two unsual donations this year, £65 from Attock Oil Co Ltd, and £125 from Burmah Oil Co Ltd)</t>
  </si>
  <si>
    <t>Year Book (1952), p.221 [Other Pubs=Charter Book, N&amp;R, Obits, Pamphlet on Symbols and Year Book] [Other costs=insurance, salaries, misc]</t>
  </si>
  <si>
    <t>Other Grant Income</t>
  </si>
  <si>
    <t>Total Grant Income</t>
  </si>
  <si>
    <t>Total Publications Income £ (calc)</t>
  </si>
  <si>
    <t>Total Publications Account Income (listed, inc grants) £</t>
  </si>
  <si>
    <t>Year Book (1955), p.246</t>
  </si>
  <si>
    <t>Year Book (1955), p.246 [Other includes £2,243 office furniture &amp; equipment, and much bigger salary bill of £3442 (perhaps Marketing Dept?), as well as £175 towards the pro-printing unit]</t>
  </si>
  <si>
    <t>Photo of AB/3/1/28 [I strongly suspect that 'direct expenditure' no longer includes salaries. Publications account is mixed in with General, so all salaries are probably togther</t>
  </si>
  <si>
    <t>Photo of AB/3/1/29</t>
  </si>
  <si>
    <t>Year Book 1970 has only the general totals</t>
  </si>
  <si>
    <t>Year Book (1971), p.425. has only general totals</t>
  </si>
  <si>
    <t>Year Book (1971), p.425 has only general totals</t>
  </si>
  <si>
    <t>TOTAL Production Costs</t>
  </si>
  <si>
    <t>Salaries</t>
  </si>
  <si>
    <t>Overheads</t>
  </si>
  <si>
    <t>Now inc overheads/salaries</t>
  </si>
  <si>
    <t>Year Book (IN original 1980 accounts, salaries and overheads weren't included; but by 1981, they'd recalculated the 1980 costs in comparison, plus audit costs)</t>
  </si>
  <si>
    <t>AB/3/3/37 (1982-3)</t>
  </si>
  <si>
    <t>Year Book [Other income=difference on exchange]</t>
  </si>
  <si>
    <t>AB/3/3/37 (1982-3) [Other income=difference on exchange]</t>
  </si>
  <si>
    <t>AB/3/3/40 (1985-86)</t>
  </si>
  <si>
    <t>Year Book (1990), p336</t>
  </si>
  <si>
    <t>Other</t>
  </si>
  <si>
    <t>AB/3/3/40 (1985-86) [Other=Grant for Discussion Meeting]</t>
  </si>
  <si>
    <t>Year Book (1990), p336 [Other=depreciation on computer equipment]</t>
  </si>
  <si>
    <t>AB (1974)</t>
  </si>
  <si>
    <t>Other Pubs £</t>
  </si>
  <si>
    <t>Year Book (1953), p.232</t>
  </si>
  <si>
    <t>Year Book (1954), p.233</t>
  </si>
  <si>
    <t>Year Book (1956), 270 [Grants do show £5769 of income from Sci Publications grant, but since it is to be returned to the Treasury, I have excluded it here] [Other Pubs includes £811 from pro-printing, as well as the usual]</t>
  </si>
  <si>
    <t>Year Book (1957), p.268-9 NB CHANGE IN ACCOUNTS: NO SEPARATE PUBLICATIONS ACCOUNT</t>
  </si>
  <si>
    <t>Year Book (1958), 272-3</t>
  </si>
  <si>
    <t>Photo of AB/3/1/25 (year ending Sept 1959) (includes royalties on microfilms; but I have ommitted £8000 from sales from reprinted Proc). NB Publication Account is still merged in with General Account</t>
  </si>
  <si>
    <t>Transactions Sales £</t>
  </si>
  <si>
    <t>Year Book (1965), p.330, but only gives total sales/costs, not per journal</t>
  </si>
  <si>
    <t>Year Book (1957), P268-9 NB CHANGE IN ACCOUNTS: NO PUBLICATION ACCOUNT</t>
  </si>
  <si>
    <t>Year Book (1965), p330, but only gives total costs, no breakdown</t>
  </si>
  <si>
    <t>Year Book (1966), p.328, but only gives total sales/costs, not per journal</t>
  </si>
  <si>
    <t>Year Book (1966), p328, but only gives total costs, no breakdown</t>
  </si>
  <si>
    <t>Year Book (1970), p.405 has only the general totals.</t>
  </si>
  <si>
    <t>TOTAL OTHER COSTS (calc)</t>
  </si>
  <si>
    <t>Surplus of Grant Income over 'Overheads/Salaries etc'</t>
  </si>
  <si>
    <t>(Listed) Gross Sales Income £</t>
  </si>
  <si>
    <t>(Checksum) Gross Sales Income</t>
  </si>
  <si>
    <t>Net Sales Income</t>
  </si>
  <si>
    <t>Trans surplus (using gross sales)</t>
  </si>
  <si>
    <t>Proc surplus (using gross sales)</t>
  </si>
  <si>
    <t>Estimated RS surplus on Trans (net sales)</t>
  </si>
  <si>
    <t>Estimated RS surplus on Proc (net sales)</t>
  </si>
  <si>
    <t>Year Book (1953), p.232 [Ronan joined the staff?]</t>
  </si>
  <si>
    <t>Year Book (1956), 270. [Other expenses includes £95 of equipment; and £1433 on the pro-printing unit - note that pro-printing had an income of £811] [Machin and/or Oak joined the staff]</t>
  </si>
  <si>
    <t>Totals from AB/3/3/40 (1985-86); details per journal are from C/87(87) and don't quite match up.</t>
  </si>
  <si>
    <t>Year Book (1979), p409</t>
  </si>
  <si>
    <t>"Listed" is from Year Book (1979), p409</t>
  </si>
  <si>
    <t>Year Book and Publications Account AB/2/20/3</t>
  </si>
  <si>
    <t>"Listed" is from Year Book (and doesn't count salary/overheads); details are from Publications Account AB/2/20/3</t>
  </si>
  <si>
    <t>"Listed" is from Year Book  not counting salary/overheads and something else); details are from Publications Account AB/2/20/3</t>
  </si>
  <si>
    <t>could recalculate this to include salary/overheads</t>
  </si>
  <si>
    <t>Trustees' report and financial statements 1999-2000 (note, is different from YB)</t>
  </si>
  <si>
    <t>Year Book (1991), p.340 [year-ended 31 Aug 1990]</t>
  </si>
  <si>
    <t>Year Book (1991), p.340 [year-ended 31 Aug 1991] [publicity given as separate item for first time; included here in Pubs expenses]</t>
  </si>
  <si>
    <t>Year Book (1992), p.343 [NB year-end was changed to 31 March 1991, so 1991 figures are for only 7 months]</t>
  </si>
  <si>
    <t>Year Book (1993), p.8</t>
  </si>
  <si>
    <t>Year Book (1994), p.G7</t>
  </si>
  <si>
    <t>surplus as % of sales income</t>
  </si>
  <si>
    <t>RS AB_2_1_1 inc Proc</t>
  </si>
  <si>
    <t>RS AB_2_1_1</t>
  </si>
  <si>
    <t>RS AB_2_1_2</t>
  </si>
  <si>
    <t>Ledger AB/2/2/2</t>
  </si>
  <si>
    <t>Ledger AB/2/2/3</t>
  </si>
  <si>
    <t>Ledger has only Proc sales</t>
  </si>
  <si>
    <t>Trans sales missing</t>
  </si>
  <si>
    <t>-</t>
  </si>
  <si>
    <t>Balance Sheets AB_2_1_1</t>
  </si>
  <si>
    <t>Ledgers AB_2_2_1: paper, distribution and marketing; Balance Sheet AB_2_1_1: printing,  illustrations (combined), Finishing (combined)</t>
  </si>
  <si>
    <t>Year Book; Distribution Ledgers AB_2_2_2</t>
  </si>
  <si>
    <t>Year Book; Distribution Expenditure Cashbooks AB_2_4_1</t>
  </si>
  <si>
    <t>Year Book; Distribution from Ledgers AB_2_2_2</t>
  </si>
  <si>
    <t>Year Books</t>
  </si>
  <si>
    <t>Paper is combined with PT till 1886</t>
  </si>
  <si>
    <t>YB 1901: 170-1; Distribution Ledgers AB_2_2_2</t>
  </si>
  <si>
    <t>Yearbook 1931, p.185 (Other Pubs=YB, which is listed separately…)</t>
  </si>
  <si>
    <t>(Listed) Trans Total Costs £</t>
  </si>
  <si>
    <t>Ledger AB/2/2/3; YB1916: 186-7</t>
  </si>
  <si>
    <t>YB1917: 182-3</t>
  </si>
  <si>
    <t>YB1920: 193</t>
  </si>
  <si>
    <t>YB1919: 193</t>
  </si>
  <si>
    <t>Trustees' report etc 1999-2000, #2.2</t>
  </si>
  <si>
    <t>inc distribution</t>
  </si>
  <si>
    <t>Trustees' report and financial statements, 2010-11, note 4</t>
  </si>
  <si>
    <t>Trustees' report and financial statements 2010-11, note 4</t>
  </si>
  <si>
    <t>ST spreadsheet</t>
  </si>
  <si>
    <t>Trustees' report and financial statements [also, ST spreadsheet]</t>
  </si>
  <si>
    <t xml:space="preserve"> ST spreadsheet figure [Trustees' report had only £2,498,000 but ST notes that in 2009 the way overheads were charged changed, i.e. higher costs]</t>
  </si>
  <si>
    <t>Trustees' report and financial statements, 2010-11, note 4 [also ST spreadsheet]</t>
  </si>
  <si>
    <t>Trustees' report etc 2005-06, note 12 [also ST spreadsheet]</t>
  </si>
  <si>
    <t>Ledger AB/2/2/3, YB</t>
  </si>
  <si>
    <t>(Checksum inc Distrib) Proc Costs £</t>
  </si>
  <si>
    <t>TOTAL Production+Distribution</t>
  </si>
  <si>
    <t>AB/3/1/31 photo [NB from this point on, no more production cost breakdown, just total per Trans/Proc]</t>
  </si>
  <si>
    <t>From 1900 onwards, the main run of income/expenditure data comes from the published annual accounts of the Royal Society (in the Year Book until 1999; and thereafter in the separately-published Trustees' Report). For certain years, e.g. in the mid-20thC, it has been possible to supplement this with more detailed breakdowns from the archival series.</t>
  </si>
  <si>
    <t>There are various inconsistencies to be aware of:</t>
  </si>
  <si>
    <t>2. Decimalisation in 1971</t>
  </si>
  <si>
    <t>Grants Income</t>
  </si>
  <si>
    <t>Sources of Data:</t>
  </si>
  <si>
    <t>Income inc grants (Checksum)</t>
  </si>
  <si>
    <t>From 1910 to 1957, the figure reported publicly for publications income included income from grants/donations to support publications, as well as sales income. There had been grants income supporting publications from at least 1895, but there is no consistent source showing this. In this spreadsheet, we have retrospectively created a 'publications income (excluding grants)' figure for 1910-57 to allow a more consistent longue duree comparison (though the 1895-1910 period should still be treated with caution)</t>
  </si>
  <si>
    <t>Year Book (1985) p.311</t>
  </si>
  <si>
    <t>Year Book (1988), p336</t>
  </si>
  <si>
    <t>YB (1988), p.336</t>
  </si>
  <si>
    <t>(Checksum) Trans Costs £</t>
  </si>
  <si>
    <t>Retail Price Index (2010 = 100)</t>
  </si>
  <si>
    <t xml:space="preserve">Citation: Greg Clark, 'What Were the UK Earnings and Prices Then?' MeasuringWorth, 2021. </t>
  </si>
  <si>
    <t>Expenditure adjusted to 2010£</t>
  </si>
  <si>
    <t>Pubs Income+Grants (adjusted to 2010£)</t>
  </si>
  <si>
    <t>Publications Income (adjusted to 2010£)</t>
  </si>
  <si>
    <t>RS AB_2_1_1 [total is oddly low; may be a typo in original transcription - the AB_2_1_1 excel also says 119…]</t>
  </si>
  <si>
    <t>sales income dubiously low in 1885</t>
  </si>
  <si>
    <t>Expense Recovery Ratio</t>
  </si>
  <si>
    <t>check if any reason why this is so high? Eg sales of reprint? [YB1939 not in digital folder]</t>
  </si>
  <si>
    <t>Total official income is from Trustees' report etc 2003-04, #2.2 [also ST spreadsheet]; whereas the breakdown by journal comes from the 4-yr analysis by John Taylor in 2004, RS PUB/11(04)</t>
  </si>
  <si>
    <t>breakdown by journal comes from the 4-yr analysis by John Taylor in 2004, RS PUB/11(04) [income-generation from 'design studio' excluded]</t>
  </si>
  <si>
    <t>Total official income from Trustees' report etc 2000-2001, #2.2; breakdown by journal comes from the 4-yr analysis by John Taylor in 2004, RS PUB/11(04) [income-generation from 'design studio' excluded]</t>
  </si>
  <si>
    <t>Other Direct Expenses (inc publicity/marketing) £</t>
  </si>
  <si>
    <t>IT stuff</t>
  </si>
  <si>
    <t>Listed total is from Trustees' report etc 2003-04, #2.2 [also, ST spreadsheet]; cost breakdown is from 4-yr analysis by John Taylor 2004, PUB/11(04). Not sure why the totals don't match (but possibly variation in calendar/financial year)</t>
  </si>
  <si>
    <t>Trustees' report etc 2003-04, #2.2 (staff costs now mixed in with all trading activity staff costs) [also, ST spreadsheet]; cost breakdown is from 4-yr analysis by John Taylor 2004, PUB/11(04). Not sure why the totals don't match (but possibly variation in calendar/financial year)</t>
  </si>
  <si>
    <t>cost breakdown is from 4-yr analysis by John Taylor 2004, PUB/11(04)</t>
  </si>
  <si>
    <t>Trustees' report etc 2000-2001, #2.2 [also available in John Taylor analysis, see below; but figures don't entirely match…)</t>
  </si>
  <si>
    <t>ST spreadsheet (NB for calendar year 2005, hence the mismatch in totals); Listed total from Trustees' report etc 2005-06, note 12 is £1,860,000</t>
  </si>
  <si>
    <t>ST spreadsheet figure (though note that in Trustees' report for financial yr 2005-06, note 12 shows £1,823,000 here…)</t>
  </si>
  <si>
    <t>1. The Society changed its accounting year occasionally. This spreadsheet reports the results for whichever accounting year the Society was using at the time, and so users should be aware of moments of transition. Traditionally, the Society's accounting year had ended on its anniversary day (30 November). In 1939, it moved to a year-end of 30 Sept (so, 1939 figures are for an 11-month 'year'). In 1968, it moved to a year-end of 31 Aug (so, 1968 figures are for a 11-month 'year'). In 1991, it adopted a year-end of 31 March (so, 1991 figures are for a 7-month 'year'). And, by c.2004, the Publishing Team was reporting internally by Calendar Year, even though RS officially still kept a March financial year...</t>
  </si>
  <si>
    <t>3. Staff/overhead costs were sometimes included in the publication account, and sometimes not. Staff costs WERE included from 1936-55 inclusive; and again from 1980 (though staff costs from mid-1970s can be identified from the archives). After 2000, publishing staff costs were often included in a bigger category of 'trading costs' and can't be separated easily via the 'annual accounts' (but can be identified in JT analysis and ST spreadsheet)</t>
  </si>
  <si>
    <t>From spreadsheet (for financial year 1995/6) included in PUB/14(96)</t>
  </si>
  <si>
    <t>From spreadsheet for 1995/6 included in PUB/14(96); Year Book apparently gives the annual accounts total at £1,338,000</t>
  </si>
  <si>
    <t>Data for 1880-1899 come from the series of financial ledgers and annual balance sheets in the Royal Society archives. They do not distinguish between costs/income for Transactions or Proceedings</t>
  </si>
  <si>
    <t>The data available become less detailed over time. Cost breakdowns for paper/printing/illustrations etc are only available up to 1966. Income/expenditure breakdowns by journal (i.e. Proceedings/Transactions/other) are only availble until 2005. Salary and overhead costs are only sometimes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</si>
</sst>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6" formatCode="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8"/>
      <color indexed="81"/>
      <name val="Tahoma"/>
      <family val="2"/>
    </font>
    <font>
      <b/>
      <sz val="8"/>
      <color indexed="81"/>
      <name val="Tahoma"/>
      <family val="2"/>
    </font>
    <font>
      <sz val="11"/>
      <color rgb="FF00B0F0"/>
      <name val="Calibri"/>
      <family val="2"/>
      <scheme val="minor"/>
    </font>
  </fonts>
  <fills count="23">
    <fill>
      <patternFill patternType="none"/>
    </fill>
    <fill>
      <patternFill patternType="gray125"/>
    </fill>
    <fill>
      <patternFill patternType="solid">
        <fgColor theme="9" tint="0.59999389629810485"/>
        <bgColor indexed="64"/>
      </patternFill>
    </fill>
    <fill>
      <patternFill patternType="solid">
        <fgColor theme="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2"/>
        <bgColor indexed="64"/>
      </patternFill>
    </fill>
    <fill>
      <patternFill patternType="solid">
        <fgColor theme="0" tint="-9.9978637043366805E-2"/>
        <bgColor indexed="64"/>
      </patternFill>
    </fill>
    <fill>
      <patternFill patternType="solid">
        <fgColor theme="0" tint="-0.249977111117893"/>
        <bgColor indexed="64"/>
      </patternFill>
    </fill>
    <fill>
      <patternFill patternType="solid">
        <fgColor theme="7"/>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CCCC"/>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45">
    <xf numFmtId="0" fontId="0" fillId="0" borderId="0" xfId="0"/>
    <xf numFmtId="0" fontId="2" fillId="0" borderId="0" xfId="0" applyFont="1" applyFill="1" applyAlignment="1">
      <alignment wrapText="1"/>
    </xf>
    <xf numFmtId="0" fontId="2" fillId="2" borderId="0" xfId="0" applyFont="1" applyFill="1" applyAlignment="1">
      <alignment wrapText="1"/>
    </xf>
    <xf numFmtId="0" fontId="2" fillId="5" borderId="0" xfId="0" applyFont="1" applyFill="1" applyAlignment="1">
      <alignment wrapText="1"/>
    </xf>
    <xf numFmtId="0" fontId="2" fillId="6" borderId="0" xfId="0" applyFont="1" applyFill="1" applyAlignment="1">
      <alignment wrapText="1"/>
    </xf>
    <xf numFmtId="0" fontId="2" fillId="7" borderId="0" xfId="0" applyFont="1" applyFill="1" applyAlignment="1">
      <alignment wrapText="1"/>
    </xf>
    <xf numFmtId="0" fontId="2" fillId="8" borderId="0" xfId="0" applyFont="1" applyFill="1" applyAlignment="1">
      <alignment wrapText="1"/>
    </xf>
    <xf numFmtId="0" fontId="0" fillId="8" borderId="0" xfId="0" applyFill="1"/>
    <xf numFmtId="0" fontId="0" fillId="2" borderId="0" xfId="0" applyFill="1"/>
    <xf numFmtId="0" fontId="0" fillId="0" borderId="0" xfId="0" applyFill="1"/>
    <xf numFmtId="0" fontId="0" fillId="0" borderId="0" xfId="0" applyAlignment="1">
      <alignment wrapText="1"/>
    </xf>
    <xf numFmtId="0" fontId="0" fillId="3" borderId="0" xfId="0" applyFill="1" applyAlignment="1">
      <alignment wrapText="1"/>
    </xf>
    <xf numFmtId="164" fontId="1" fillId="0" borderId="0" xfId="1" applyNumberFormat="1" applyFont="1"/>
    <xf numFmtId="164" fontId="1" fillId="0" borderId="0" xfId="1" applyNumberFormat="1" applyFont="1" applyAlignment="1">
      <alignment horizontal="left"/>
    </xf>
    <xf numFmtId="164" fontId="1" fillId="0" borderId="0" xfId="1" applyNumberFormat="1" applyFont="1" applyFill="1"/>
    <xf numFmtId="164" fontId="1" fillId="0" borderId="0" xfId="1" applyNumberFormat="1" applyFont="1" applyFill="1" applyAlignment="1">
      <alignment horizontal="left"/>
    </xf>
    <xf numFmtId="0" fontId="0" fillId="0" borderId="0" xfId="0" applyAlignment="1">
      <alignment horizontal="right"/>
    </xf>
    <xf numFmtId="164" fontId="1" fillId="3" borderId="0" xfId="1" applyNumberFormat="1" applyFont="1" applyFill="1" applyAlignment="1">
      <alignment horizontal="left"/>
    </xf>
    <xf numFmtId="164" fontId="0" fillId="0" borderId="0" xfId="0" applyNumberFormat="1"/>
    <xf numFmtId="0" fontId="0" fillId="0" borderId="0" xfId="0" applyAlignment="1">
      <alignment horizontal="left"/>
    </xf>
    <xf numFmtId="0" fontId="0" fillId="3" borderId="0" xfId="0" applyFill="1" applyAlignment="1">
      <alignment horizontal="left"/>
    </xf>
    <xf numFmtId="43" fontId="0" fillId="2" borderId="0" xfId="1" applyFont="1" applyFill="1"/>
    <xf numFmtId="43" fontId="2" fillId="5" borderId="0" xfId="1" applyFont="1" applyFill="1" applyAlignment="1">
      <alignment wrapText="1"/>
    </xf>
    <xf numFmtId="43" fontId="0" fillId="0" borderId="0" xfId="1" applyFont="1" applyFill="1"/>
    <xf numFmtId="43" fontId="0" fillId="0" borderId="0" xfId="1" applyFont="1"/>
    <xf numFmtId="164" fontId="0" fillId="2" borderId="0" xfId="1" applyNumberFormat="1" applyFont="1" applyFill="1"/>
    <xf numFmtId="164" fontId="2" fillId="5" borderId="0" xfId="1" applyNumberFormat="1" applyFont="1" applyFill="1" applyAlignment="1">
      <alignment wrapText="1"/>
    </xf>
    <xf numFmtId="164" fontId="0" fillId="0" borderId="0" xfId="1" applyNumberFormat="1" applyFont="1" applyFill="1"/>
    <xf numFmtId="164" fontId="0" fillId="0" borderId="0" xfId="1" applyNumberFormat="1" applyFont="1"/>
    <xf numFmtId="0" fontId="2" fillId="0" borderId="0" xfId="0" applyFont="1"/>
    <xf numFmtId="164" fontId="0" fillId="8" borderId="0" xfId="1" applyNumberFormat="1" applyFont="1" applyFill="1"/>
    <xf numFmtId="164" fontId="2" fillId="8" borderId="0" xfId="1" applyNumberFormat="1" applyFont="1" applyFill="1" applyAlignment="1">
      <alignment wrapText="1"/>
    </xf>
    <xf numFmtId="164" fontId="2" fillId="2" borderId="0" xfId="1" applyNumberFormat="1" applyFont="1" applyFill="1" applyAlignment="1">
      <alignment wrapText="1"/>
    </xf>
    <xf numFmtId="164" fontId="0" fillId="9" borderId="0" xfId="1" applyNumberFormat="1" applyFont="1" applyFill="1"/>
    <xf numFmtId="164" fontId="2" fillId="8" borderId="0" xfId="1" applyNumberFormat="1" applyFont="1" applyFill="1"/>
    <xf numFmtId="0" fontId="0" fillId="0" borderId="0" xfId="0" applyAlignment="1"/>
    <xf numFmtId="43" fontId="0" fillId="0" borderId="0" xfId="1" applyNumberFormat="1" applyFont="1"/>
    <xf numFmtId="43" fontId="1" fillId="0" borderId="0" xfId="1" applyFont="1"/>
    <xf numFmtId="43" fontId="0" fillId="0" borderId="0" xfId="0" applyNumberFormat="1"/>
    <xf numFmtId="43" fontId="0" fillId="0" borderId="0" xfId="1" applyFont="1" applyAlignment="1">
      <alignment horizontal="right" indent="1"/>
    </xf>
    <xf numFmtId="0" fontId="0" fillId="0" borderId="0" xfId="0" applyFill="1" applyAlignment="1">
      <alignment wrapText="1"/>
    </xf>
    <xf numFmtId="0" fontId="0" fillId="0" borderId="0" xfId="0" applyFill="1" applyAlignment="1"/>
    <xf numFmtId="164" fontId="0" fillId="0" borderId="0" xfId="1" applyNumberFormat="1" applyFont="1" applyFill="1" applyAlignment="1"/>
    <xf numFmtId="164" fontId="0" fillId="8" borderId="0" xfId="1" applyNumberFormat="1" applyFont="1" applyFill="1" applyAlignment="1">
      <alignment horizontal="right"/>
    </xf>
    <xf numFmtId="164" fontId="2" fillId="8" borderId="0" xfId="1" applyNumberFormat="1" applyFont="1" applyFill="1" applyAlignment="1">
      <alignment horizontal="right" wrapText="1"/>
    </xf>
    <xf numFmtId="164" fontId="0" fillId="0" borderId="0" xfId="1" applyNumberFormat="1" applyFont="1" applyAlignment="1">
      <alignment horizontal="right"/>
    </xf>
    <xf numFmtId="0" fontId="0" fillId="0" borderId="0" xfId="1" applyNumberFormat="1" applyFont="1" applyAlignment="1">
      <alignment horizontal="right"/>
    </xf>
    <xf numFmtId="0" fontId="0" fillId="0" borderId="0" xfId="1" applyNumberFormat="1" applyFont="1"/>
    <xf numFmtId="43" fontId="0" fillId="0" borderId="0" xfId="1" applyNumberFormat="1" applyFont="1" applyFill="1"/>
    <xf numFmtId="0" fontId="2" fillId="2" borderId="0" xfId="0" applyFont="1" applyFill="1"/>
    <xf numFmtId="43" fontId="1" fillId="0" borderId="0" xfId="1" applyNumberFormat="1" applyFont="1"/>
    <xf numFmtId="43" fontId="1" fillId="0" borderId="0" xfId="1" applyNumberFormat="1" applyFont="1" applyAlignment="1">
      <alignment horizontal="left"/>
    </xf>
    <xf numFmtId="0" fontId="2" fillId="5" borderId="0" xfId="0" applyNumberFormat="1" applyFont="1" applyFill="1" applyAlignment="1">
      <alignment wrapText="1"/>
    </xf>
    <xf numFmtId="0" fontId="1" fillId="0" borderId="0" xfId="1" applyNumberFormat="1" applyFont="1"/>
    <xf numFmtId="0" fontId="1" fillId="0" borderId="0" xfId="1" applyNumberFormat="1" applyFont="1" applyAlignment="1">
      <alignment horizontal="left"/>
    </xf>
    <xf numFmtId="0" fontId="0" fillId="0" borderId="0" xfId="0" applyNumberFormat="1"/>
    <xf numFmtId="0" fontId="2" fillId="4" borderId="0" xfId="0" applyNumberFormat="1" applyFont="1" applyFill="1" applyAlignment="1">
      <alignment wrapText="1"/>
    </xf>
    <xf numFmtId="0" fontId="2" fillId="6" borderId="0" xfId="0" applyNumberFormat="1" applyFont="1" applyFill="1" applyAlignment="1">
      <alignment wrapText="1"/>
    </xf>
    <xf numFmtId="0" fontId="0" fillId="0" borderId="0" xfId="0" applyNumberFormat="1" applyFill="1" applyAlignment="1"/>
    <xf numFmtId="0" fontId="0" fillId="0" borderId="0" xfId="0" applyNumberFormat="1" applyAlignment="1">
      <alignment horizontal="right"/>
    </xf>
    <xf numFmtId="0" fontId="1" fillId="0" borderId="0" xfId="1" applyNumberFormat="1" applyFont="1" applyFill="1"/>
    <xf numFmtId="0" fontId="0" fillId="0" borderId="0" xfId="0" applyNumberFormat="1" applyFill="1"/>
    <xf numFmtId="43" fontId="2" fillId="4" borderId="0" xfId="1" applyFont="1" applyFill="1" applyAlignment="1">
      <alignment wrapText="1"/>
    </xf>
    <xf numFmtId="43" fontId="2" fillId="6" borderId="0" xfId="1" applyFont="1" applyFill="1" applyAlignment="1">
      <alignment wrapText="1"/>
    </xf>
    <xf numFmtId="0" fontId="2" fillId="11" borderId="0" xfId="0" applyFont="1" applyFill="1" applyAlignment="1">
      <alignment wrapText="1"/>
    </xf>
    <xf numFmtId="43" fontId="1" fillId="0" borderId="0" xfId="1" applyFont="1" applyAlignment="1">
      <alignment horizontal="left"/>
    </xf>
    <xf numFmtId="43" fontId="4" fillId="0" borderId="0" xfId="1" applyFont="1"/>
    <xf numFmtId="0" fontId="0" fillId="0" borderId="0" xfId="0" applyFill="1" applyAlignment="1">
      <alignment horizontal="center" wrapText="1"/>
    </xf>
    <xf numFmtId="0" fontId="0" fillId="0" borderId="0" xfId="0" applyNumberFormat="1" applyFill="1" applyAlignment="1">
      <alignment wrapText="1"/>
    </xf>
    <xf numFmtId="0" fontId="0" fillId="0" borderId="0" xfId="0" applyNumberFormat="1" applyFill="1" applyAlignment="1">
      <alignment horizontal="center" wrapText="1"/>
    </xf>
    <xf numFmtId="0" fontId="2" fillId="10" borderId="0" xfId="0" applyFont="1" applyFill="1"/>
    <xf numFmtId="0" fontId="2" fillId="0" borderId="0" xfId="0" applyFont="1" applyAlignment="1">
      <alignment wrapText="1"/>
    </xf>
    <xf numFmtId="0" fontId="0" fillId="0" borderId="0" xfId="0" applyNumberFormat="1" applyFill="1" applyAlignment="1">
      <alignment horizontal="right"/>
    </xf>
    <xf numFmtId="43" fontId="3" fillId="0" borderId="0" xfId="1" applyFont="1"/>
    <xf numFmtId="0" fontId="0" fillId="3" borderId="0" xfId="0" applyFill="1"/>
    <xf numFmtId="0" fontId="0" fillId="3" borderId="0" xfId="0" applyNumberFormat="1" applyFill="1"/>
    <xf numFmtId="43" fontId="0" fillId="3" borderId="0" xfId="1" applyFont="1" applyFill="1"/>
    <xf numFmtId="0" fontId="2" fillId="3" borderId="0" xfId="0" applyFont="1" applyFill="1"/>
    <xf numFmtId="164" fontId="0" fillId="3" borderId="0" xfId="1" applyNumberFormat="1" applyFont="1" applyFill="1"/>
    <xf numFmtId="164" fontId="0" fillId="3" borderId="0" xfId="1" applyNumberFormat="1" applyFont="1" applyFill="1" applyAlignment="1">
      <alignment horizontal="right"/>
    </xf>
    <xf numFmtId="0" fontId="2" fillId="12" borderId="0" xfId="0" applyFont="1" applyFill="1" applyAlignment="1">
      <alignment horizontal="center" wrapText="1"/>
    </xf>
    <xf numFmtId="43" fontId="0" fillId="5" borderId="0" xfId="0" applyNumberFormat="1" applyFill="1"/>
    <xf numFmtId="43" fontId="0" fillId="0" borderId="0" xfId="0" applyNumberFormat="1" applyFill="1"/>
    <xf numFmtId="0" fontId="2" fillId="0" borderId="0" xfId="0" applyFont="1" applyFill="1"/>
    <xf numFmtId="43" fontId="2" fillId="2" borderId="0" xfId="1" applyFont="1" applyFill="1" applyAlignment="1">
      <alignment wrapText="1"/>
    </xf>
    <xf numFmtId="0" fontId="2" fillId="13" borderId="0" xfId="0" applyFont="1" applyFill="1" applyAlignment="1">
      <alignment wrapText="1"/>
    </xf>
    <xf numFmtId="43" fontId="3" fillId="0" borderId="0" xfId="0" applyNumberFormat="1" applyFont="1"/>
    <xf numFmtId="166" fontId="0" fillId="0" borderId="0" xfId="0" applyNumberFormat="1"/>
    <xf numFmtId="0" fontId="0" fillId="0" borderId="0" xfId="0" applyFill="1" applyAlignment="1">
      <alignment horizontal="left"/>
    </xf>
    <xf numFmtId="164" fontId="0" fillId="15" borderId="0" xfId="1" applyNumberFormat="1" applyFont="1" applyFill="1"/>
    <xf numFmtId="43" fontId="2" fillId="0" borderId="0" xfId="1" applyFont="1" applyFill="1" applyAlignment="1">
      <alignment wrapText="1"/>
    </xf>
    <xf numFmtId="0" fontId="2" fillId="16" borderId="0" xfId="0" applyFont="1" applyFill="1" applyAlignment="1">
      <alignment wrapText="1"/>
    </xf>
    <xf numFmtId="0" fontId="2" fillId="0" borderId="0" xfId="0" applyNumberFormat="1" applyFont="1" applyFill="1" applyAlignment="1">
      <alignment wrapText="1"/>
    </xf>
    <xf numFmtId="164" fontId="2" fillId="0" borderId="0" xfId="1" applyNumberFormat="1" applyFont="1" applyFill="1" applyAlignment="1">
      <alignment wrapText="1"/>
    </xf>
    <xf numFmtId="164" fontId="2" fillId="0" borderId="0" xfId="1" applyNumberFormat="1" applyFont="1" applyFill="1" applyAlignment="1">
      <alignment horizontal="right" wrapText="1"/>
    </xf>
    <xf numFmtId="164" fontId="3" fillId="0" borderId="0" xfId="1" applyNumberFormat="1" applyFont="1" applyAlignment="1">
      <alignment horizontal="left"/>
    </xf>
    <xf numFmtId="0" fontId="0" fillId="9" borderId="0" xfId="0" applyFill="1"/>
    <xf numFmtId="0" fontId="0" fillId="0" borderId="0" xfId="0" applyNumberFormat="1" applyFont="1" applyFill="1" applyAlignment="1">
      <alignment wrapText="1"/>
    </xf>
    <xf numFmtId="0" fontId="4" fillId="0" borderId="0" xfId="0" applyFont="1" applyFill="1"/>
    <xf numFmtId="0" fontId="0" fillId="0" borderId="0" xfId="0" applyFont="1" applyFill="1" applyAlignment="1">
      <alignment wrapText="1"/>
    </xf>
    <xf numFmtId="0" fontId="2" fillId="17" borderId="0" xfId="0" applyFont="1" applyFill="1" applyAlignment="1">
      <alignment wrapText="1"/>
    </xf>
    <xf numFmtId="0" fontId="2" fillId="17" borderId="0" xfId="0" applyFont="1" applyFill="1" applyAlignment="1"/>
    <xf numFmtId="43" fontId="0" fillId="0" borderId="0" xfId="0" applyNumberFormat="1" applyFont="1" applyFill="1" applyAlignment="1">
      <alignment wrapText="1"/>
    </xf>
    <xf numFmtId="0" fontId="3" fillId="0" borderId="0" xfId="0" applyFont="1"/>
    <xf numFmtId="0" fontId="3" fillId="0" borderId="0" xfId="0" applyFont="1" applyFill="1"/>
    <xf numFmtId="164" fontId="3" fillId="0" borderId="0" xfId="1" applyNumberFormat="1" applyFont="1" applyFill="1"/>
    <xf numFmtId="0" fontId="0" fillId="18" borderId="0" xfId="0" applyFill="1"/>
    <xf numFmtId="0" fontId="4" fillId="0" borderId="0" xfId="0" applyFont="1"/>
    <xf numFmtId="164" fontId="4" fillId="0" borderId="0" xfId="1" applyNumberFormat="1" applyFont="1" applyFill="1"/>
    <xf numFmtId="164" fontId="3" fillId="0" borderId="0" xfId="1" applyNumberFormat="1" applyFont="1"/>
    <xf numFmtId="164" fontId="1" fillId="0" borderId="0" xfId="1" applyNumberFormat="1" applyFont="1" applyFill="1" applyAlignment="1">
      <alignment wrapText="1"/>
    </xf>
    <xf numFmtId="43" fontId="4" fillId="0" borderId="0" xfId="1" applyNumberFormat="1" applyFont="1"/>
    <xf numFmtId="43" fontId="3" fillId="0" borderId="0" xfId="1" applyNumberFormat="1" applyFont="1"/>
    <xf numFmtId="0" fontId="0" fillId="2" borderId="0" xfId="0" applyFill="1" applyAlignment="1">
      <alignment wrapText="1"/>
    </xf>
    <xf numFmtId="164" fontId="0" fillId="14" borderId="0" xfId="1" applyNumberFormat="1" applyFont="1" applyFill="1"/>
    <xf numFmtId="164" fontId="0" fillId="21" borderId="0" xfId="1" applyNumberFormat="1" applyFont="1" applyFill="1"/>
    <xf numFmtId="43" fontId="0" fillId="0" borderId="0" xfId="0" applyNumberFormat="1" applyFont="1" applyFill="1" applyAlignment="1">
      <alignment horizontal="center" wrapText="1"/>
    </xf>
    <xf numFmtId="0" fontId="2" fillId="22" borderId="0" xfId="0" applyFont="1" applyFill="1" applyAlignment="1">
      <alignment wrapText="1"/>
    </xf>
    <xf numFmtId="0" fontId="0" fillId="9" borderId="0" xfId="0" applyFill="1" applyAlignment="1"/>
    <xf numFmtId="0" fontId="2" fillId="9" borderId="0" xfId="0" applyFont="1" applyFill="1"/>
    <xf numFmtId="0" fontId="0" fillId="9" borderId="0" xfId="0" applyFill="1" applyAlignment="1">
      <alignment horizontal="left"/>
    </xf>
    <xf numFmtId="0" fontId="0" fillId="2" borderId="0" xfId="0" applyFill="1" applyAlignment="1"/>
    <xf numFmtId="164" fontId="0" fillId="12" borderId="0" xfId="1" applyNumberFormat="1" applyFont="1" applyFill="1"/>
    <xf numFmtId="43" fontId="0" fillId="9" borderId="0" xfId="0" applyNumberFormat="1" applyFill="1"/>
    <xf numFmtId="43" fontId="4" fillId="9" borderId="0" xfId="1" applyFont="1" applyFill="1"/>
    <xf numFmtId="0" fontId="0" fillId="0" borderId="0" xfId="0" applyAlignment="1">
      <alignment vertical="top" wrapText="1"/>
    </xf>
    <xf numFmtId="0" fontId="0" fillId="20" borderId="0" xfId="0" applyFill="1"/>
    <xf numFmtId="43" fontId="0" fillId="19" borderId="0" xfId="0" applyNumberFormat="1" applyFill="1"/>
    <xf numFmtId="164" fontId="0" fillId="0" borderId="0" xfId="0" applyNumberFormat="1" applyFont="1" applyFill="1" applyAlignment="1">
      <alignment wrapText="1"/>
    </xf>
    <xf numFmtId="0" fontId="2" fillId="14" borderId="0" xfId="0" applyFont="1" applyFill="1" applyAlignment="1">
      <alignment wrapText="1"/>
    </xf>
    <xf numFmtId="164" fontId="0" fillId="0" borderId="0" xfId="0" applyNumberFormat="1" applyFill="1"/>
    <xf numFmtId="0" fontId="0" fillId="0" borderId="0" xfId="0" applyFont="1"/>
    <xf numFmtId="43" fontId="0" fillId="0" borderId="0" xfId="0" applyNumberFormat="1" applyFont="1"/>
    <xf numFmtId="164" fontId="3" fillId="0" borderId="0" xfId="1" applyNumberFormat="1" applyFont="1" applyFill="1" applyAlignment="1">
      <alignment horizontal="left"/>
    </xf>
    <xf numFmtId="0" fontId="0" fillId="0" borderId="0" xfId="0" applyAlignment="1">
      <alignment horizontal="center"/>
    </xf>
    <xf numFmtId="0" fontId="0" fillId="0" borderId="0" xfId="0" applyAlignment="1">
      <alignment horizontal="left" wrapText="1"/>
    </xf>
    <xf numFmtId="164" fontId="7" fillId="0" borderId="0" xfId="1" applyNumberFormat="1" applyFont="1"/>
    <xf numFmtId="164" fontId="7" fillId="0" borderId="0" xfId="0" applyNumberFormat="1" applyFont="1"/>
    <xf numFmtId="164" fontId="7" fillId="0" borderId="0" xfId="1" applyNumberFormat="1" applyFont="1" applyFill="1"/>
    <xf numFmtId="164" fontId="7" fillId="0" borderId="0" xfId="1" applyNumberFormat="1" applyFont="1" applyAlignment="1">
      <alignment horizontal="left"/>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center"/>
    </xf>
    <xf numFmtId="0" fontId="2" fillId="18" borderId="0" xfId="0" applyFont="1" applyFill="1" applyAlignment="1">
      <alignment wrapText="1"/>
    </xf>
    <xf numFmtId="43" fontId="0" fillId="18" borderId="0" xfId="0" applyNumberFormat="1" applyFont="1" applyFill="1"/>
  </cellXfs>
  <cellStyles count="2">
    <cellStyle name="Comma" xfId="1" builtinId="3"/>
    <cellStyle name="Normal" xfId="0" builtinId="0"/>
  </cellStyles>
  <dxfs count="0"/>
  <tableStyles count="0" defaultTableStyle="TableStyleMedium2" defaultPivotStyle="PivotStyleLight16"/>
  <colors>
    <mruColors>
      <color rgb="FFFFCCCC"/>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Main Income Streams for Royal Society Publishing, 1900-1957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0"/>
          <c:tx>
            <c:strRef>
              <c:f>Income!$E$1</c:f>
              <c:strCache>
                <c:ptCount val="1"/>
                <c:pt idx="0">
                  <c:v> Transactions Sales £ </c:v>
                </c:pt>
              </c:strCache>
            </c:strRef>
          </c:tx>
          <c:spPr>
            <a:solidFill>
              <a:schemeClr val="accent2"/>
            </a:solidFill>
            <a:ln>
              <a:noFill/>
            </a:ln>
            <a:effectLst/>
          </c:spPr>
          <c:invertIfNegative val="0"/>
          <c:cat>
            <c:numRef>
              <c:f>Income!$A$42:$A$79</c:f>
              <c:numCache>
                <c:formatCode>General</c:formatCode>
                <c:ptCount val="38"/>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numCache>
            </c:numRef>
          </c:cat>
          <c:val>
            <c:numRef>
              <c:f>Income!$E$42:$E$79</c:f>
              <c:numCache>
                <c:formatCode>_(* #,##0.00_);_(* \(#,##0.00\);_(* "-"??_);_(@_)</c:formatCode>
                <c:ptCount val="38"/>
                <c:pt idx="0">
                  <c:v>883.15</c:v>
                </c:pt>
                <c:pt idx="1">
                  <c:v>1279.8625</c:v>
                </c:pt>
                <c:pt idx="2">
                  <c:v>818.0958333333333</c:v>
                </c:pt>
                <c:pt idx="3">
                  <c:v>765.97500000000002</c:v>
                </c:pt>
                <c:pt idx="4">
                  <c:v>1108.2166666666667</c:v>
                </c:pt>
                <c:pt idx="5">
                  <c:v>1344.7291666666667</c:v>
                </c:pt>
                <c:pt idx="6">
                  <c:v>1325.2541666666666</c:v>
                </c:pt>
                <c:pt idx="7">
                  <c:v>1085.8708333333334</c:v>
                </c:pt>
                <c:pt idx="8">
                  <c:v>1300.1125</c:v>
                </c:pt>
                <c:pt idx="9">
                  <c:v>1132.3791666666666</c:v>
                </c:pt>
                <c:pt idx="10">
                  <c:v>1601.05</c:v>
                </c:pt>
                <c:pt idx="11">
                  <c:v>2061.7916666666665</c:v>
                </c:pt>
                <c:pt idx="12">
                  <c:v>1892.7958333333333</c:v>
                </c:pt>
                <c:pt idx="13">
                  <c:v>2084.3041666666668</c:v>
                </c:pt>
                <c:pt idx="14">
                  <c:v>2512.9458333333332</c:v>
                </c:pt>
                <c:pt idx="15">
                  <c:v>2971.3625000000002</c:v>
                </c:pt>
                <c:pt idx="16">
                  <c:v>2045.8083333333334</c:v>
                </c:pt>
                <c:pt idx="17">
                  <c:v>1875.7666666666667</c:v>
                </c:pt>
                <c:pt idx="18">
                  <c:v>1175.3416666666667</c:v>
                </c:pt>
                <c:pt idx="19">
                  <c:v>1902.6375</c:v>
                </c:pt>
                <c:pt idx="20">
                  <c:v>1066.125</c:v>
                </c:pt>
                <c:pt idx="21">
                  <c:v>898</c:v>
                </c:pt>
                <c:pt idx="22">
                  <c:v>958.85</c:v>
                </c:pt>
                <c:pt idx="23">
                  <c:v>291.71666666666664</c:v>
                </c:pt>
                <c:pt idx="24">
                  <c:v>193.71250000000001</c:v>
                </c:pt>
                <c:pt idx="25">
                  <c:v>322.27083333333331</c:v>
                </c:pt>
                <c:pt idx="26">
                  <c:v>755.54583333333335</c:v>
                </c:pt>
                <c:pt idx="27">
                  <c:v>1137.4458333333334</c:v>
                </c:pt>
                <c:pt idx="28">
                  <c:v>4996.6333333333332</c:v>
                </c:pt>
                <c:pt idx="29">
                  <c:v>4186.8208333333332</c:v>
                </c:pt>
                <c:pt idx="30">
                  <c:v>3826.7041666666669</c:v>
                </c:pt>
                <c:pt idx="31">
                  <c:v>6510.7624999999998</c:v>
                </c:pt>
                <c:pt idx="32">
                  <c:v>7598.6083333333336</c:v>
                </c:pt>
                <c:pt idx="33">
                  <c:v>6365.2041666666664</c:v>
                </c:pt>
                <c:pt idx="34">
                  <c:v>1029.6208333333334</c:v>
                </c:pt>
                <c:pt idx="35">
                  <c:v>15084.375</c:v>
                </c:pt>
                <c:pt idx="36">
                  <c:v>11744.833333333334</c:v>
                </c:pt>
                <c:pt idx="37">
                  <c:v>12779.216666666667</c:v>
                </c:pt>
              </c:numCache>
            </c:numRef>
          </c:val>
          <c:extLst>
            <c:ext xmlns:c16="http://schemas.microsoft.com/office/drawing/2014/chart" uri="{C3380CC4-5D6E-409C-BE32-E72D297353CC}">
              <c16:uniqueId val="{00000000-2B32-4BDD-BFDC-1BC21699FF8D}"/>
            </c:ext>
          </c:extLst>
        </c:ser>
        <c:ser>
          <c:idx val="0"/>
          <c:order val="1"/>
          <c:tx>
            <c:strRef>
              <c:f>Income!$I$1</c:f>
              <c:strCache>
                <c:ptCount val="1"/>
                <c:pt idx="0">
                  <c:v> Proc Sales £ </c:v>
                </c:pt>
              </c:strCache>
            </c:strRef>
          </c:tx>
          <c:spPr>
            <a:solidFill>
              <a:schemeClr val="accent1"/>
            </a:solidFill>
            <a:ln>
              <a:solidFill>
                <a:schemeClr val="accent1"/>
              </a:solidFill>
            </a:ln>
            <a:effectLst/>
          </c:spPr>
          <c:invertIfNegative val="0"/>
          <c:cat>
            <c:numRef>
              <c:f>Income!$A$42:$A$79</c:f>
              <c:numCache>
                <c:formatCode>General</c:formatCode>
                <c:ptCount val="38"/>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numCache>
            </c:numRef>
          </c:cat>
          <c:val>
            <c:numRef>
              <c:f>Income!$I$42:$I$79</c:f>
              <c:numCache>
                <c:formatCode>_(* #,##0.00_);_(* \(#,##0.00\);_(* "-"??_);_(@_)</c:formatCode>
                <c:ptCount val="38"/>
                <c:pt idx="0">
                  <c:v>574.33749999999998</c:v>
                </c:pt>
                <c:pt idx="1">
                  <c:v>875.14166666666665</c:v>
                </c:pt>
                <c:pt idx="2">
                  <c:v>1056.2874999999999</c:v>
                </c:pt>
                <c:pt idx="3">
                  <c:v>1436.1583333333333</c:v>
                </c:pt>
                <c:pt idx="4">
                  <c:v>1615.85</c:v>
                </c:pt>
                <c:pt idx="5">
                  <c:v>2366.625</c:v>
                </c:pt>
                <c:pt idx="6">
                  <c:v>2671.8083333333334</c:v>
                </c:pt>
                <c:pt idx="7">
                  <c:v>2876.0083333333332</c:v>
                </c:pt>
                <c:pt idx="8">
                  <c:v>3238.1583333333333</c:v>
                </c:pt>
                <c:pt idx="9">
                  <c:v>4097.5583333333334</c:v>
                </c:pt>
                <c:pt idx="10">
                  <c:v>3932.5333333333333</c:v>
                </c:pt>
                <c:pt idx="11">
                  <c:v>5102.9958333333334</c:v>
                </c:pt>
                <c:pt idx="12">
                  <c:v>5062.7666666666664</c:v>
                </c:pt>
                <c:pt idx="13">
                  <c:v>5125.104166666667</c:v>
                </c:pt>
                <c:pt idx="14">
                  <c:v>6298.645833333333</c:v>
                </c:pt>
                <c:pt idx="15">
                  <c:v>6142.3708333333334</c:v>
                </c:pt>
                <c:pt idx="16">
                  <c:v>7010.4250000000002</c:v>
                </c:pt>
                <c:pt idx="17">
                  <c:v>6888.8041666666668</c:v>
                </c:pt>
                <c:pt idx="18">
                  <c:v>8174.8583333333336</c:v>
                </c:pt>
                <c:pt idx="19">
                  <c:v>5244.7458333333334</c:v>
                </c:pt>
                <c:pt idx="20">
                  <c:v>5417.0916666666662</c:v>
                </c:pt>
                <c:pt idx="21">
                  <c:v>3193.8958333333335</c:v>
                </c:pt>
                <c:pt idx="22">
                  <c:v>1980.4333333333334</c:v>
                </c:pt>
                <c:pt idx="23">
                  <c:v>1237.1541666666667</c:v>
                </c:pt>
                <c:pt idx="24">
                  <c:v>2147.0541666666668</c:v>
                </c:pt>
                <c:pt idx="25">
                  <c:v>1693.9708333333333</c:v>
                </c:pt>
                <c:pt idx="26">
                  <c:v>3996.3416666666667</c:v>
                </c:pt>
                <c:pt idx="27">
                  <c:v>6133.895833333333</c:v>
                </c:pt>
                <c:pt idx="28">
                  <c:v>8401.2374999999993</c:v>
                </c:pt>
                <c:pt idx="29">
                  <c:v>14215.579166666666</c:v>
                </c:pt>
                <c:pt idx="30">
                  <c:v>14028.458333333334</c:v>
                </c:pt>
                <c:pt idx="31">
                  <c:v>18764.666666666668</c:v>
                </c:pt>
                <c:pt idx="32">
                  <c:v>24616.212500000001</c:v>
                </c:pt>
                <c:pt idx="33">
                  <c:v>21093.637500000001</c:v>
                </c:pt>
                <c:pt idx="34">
                  <c:v>20165.662499999999</c:v>
                </c:pt>
                <c:pt idx="35">
                  <c:v>43256.675000000003</c:v>
                </c:pt>
                <c:pt idx="36">
                  <c:v>42013.35</c:v>
                </c:pt>
                <c:pt idx="37">
                  <c:v>39315.558333333334</c:v>
                </c:pt>
              </c:numCache>
            </c:numRef>
          </c:val>
          <c:extLst>
            <c:ext xmlns:c16="http://schemas.microsoft.com/office/drawing/2014/chart" uri="{C3380CC4-5D6E-409C-BE32-E72D297353CC}">
              <c16:uniqueId val="{00000001-2B32-4BDD-BFDC-1BC21699FF8D}"/>
            </c:ext>
          </c:extLst>
        </c:ser>
        <c:ser>
          <c:idx val="3"/>
          <c:order val="2"/>
          <c:tx>
            <c:strRef>
              <c:f>Income!$BI$1</c:f>
              <c:strCache>
                <c:ptCount val="1"/>
                <c:pt idx="0">
                  <c:v>Total Grant Income</c:v>
                </c:pt>
              </c:strCache>
            </c:strRef>
          </c:tx>
          <c:spPr>
            <a:solidFill>
              <a:schemeClr val="accent6">
                <a:lumMod val="60000"/>
                <a:lumOff val="40000"/>
              </a:schemeClr>
            </a:solidFill>
            <a:ln>
              <a:solidFill>
                <a:schemeClr val="accent6">
                  <a:lumMod val="40000"/>
                  <a:lumOff val="60000"/>
                </a:schemeClr>
              </a:solidFill>
            </a:ln>
            <a:effectLst/>
          </c:spPr>
          <c:invertIfNegative val="0"/>
          <c:cat>
            <c:numRef>
              <c:f>Income!$A$42:$A$79</c:f>
              <c:numCache>
                <c:formatCode>General</c:formatCode>
                <c:ptCount val="38"/>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numCache>
            </c:numRef>
          </c:cat>
          <c:val>
            <c:numRef>
              <c:f>Income!$BI$42:$BI$79</c:f>
              <c:numCache>
                <c:formatCode>_(* #,##0.00_);_(* \(#,##0.00\);_(* "-"??_);_(@_)</c:formatCode>
                <c:ptCount val="38"/>
                <c:pt idx="0">
                  <c:v>535</c:v>
                </c:pt>
                <c:pt idx="1">
                  <c:v>1113.9916666666668</c:v>
                </c:pt>
                <c:pt idx="2">
                  <c:v>0</c:v>
                </c:pt>
                <c:pt idx="3">
                  <c:v>587.70000000000005</c:v>
                </c:pt>
                <c:pt idx="4">
                  <c:v>0</c:v>
                </c:pt>
                <c:pt idx="5">
                  <c:v>475.38333333333333</c:v>
                </c:pt>
                <c:pt idx="6">
                  <c:v>1350</c:v>
                </c:pt>
                <c:pt idx="7">
                  <c:v>2208.8666666666668</c:v>
                </c:pt>
                <c:pt idx="8">
                  <c:v>1805</c:v>
                </c:pt>
                <c:pt idx="9">
                  <c:v>2464.0416666666665</c:v>
                </c:pt>
                <c:pt idx="10">
                  <c:v>1940</c:v>
                </c:pt>
                <c:pt idx="11">
                  <c:v>2711.3208333333332</c:v>
                </c:pt>
                <c:pt idx="12">
                  <c:v>2318.9625000000001</c:v>
                </c:pt>
                <c:pt idx="13">
                  <c:v>2252.6166666666668</c:v>
                </c:pt>
                <c:pt idx="14">
                  <c:v>2462.7208333333333</c:v>
                </c:pt>
                <c:pt idx="15">
                  <c:v>2226.7958333333336</c:v>
                </c:pt>
                <c:pt idx="16">
                  <c:v>1751.8875</c:v>
                </c:pt>
                <c:pt idx="17">
                  <c:v>1748.5708333333332</c:v>
                </c:pt>
                <c:pt idx="18">
                  <c:v>1883.2541666666666</c:v>
                </c:pt>
                <c:pt idx="19">
                  <c:v>998.54166666666674</c:v>
                </c:pt>
                <c:pt idx="20">
                  <c:v>2117.1416666666664</c:v>
                </c:pt>
                <c:pt idx="21">
                  <c:v>1690.3416666666667</c:v>
                </c:pt>
                <c:pt idx="22">
                  <c:v>1701.825</c:v>
                </c:pt>
                <c:pt idx="23">
                  <c:v>2523.6875</c:v>
                </c:pt>
                <c:pt idx="24">
                  <c:v>2549.0500000000002</c:v>
                </c:pt>
                <c:pt idx="25">
                  <c:v>2453.3125</c:v>
                </c:pt>
                <c:pt idx="26">
                  <c:v>2214.5333333333333</c:v>
                </c:pt>
                <c:pt idx="27">
                  <c:v>2128.0458333333336</c:v>
                </c:pt>
                <c:pt idx="28">
                  <c:v>2770.5916666666667</c:v>
                </c:pt>
                <c:pt idx="29">
                  <c:v>3698.4291666666663</c:v>
                </c:pt>
                <c:pt idx="30">
                  <c:v>1331.1541666666667</c:v>
                </c:pt>
                <c:pt idx="31">
                  <c:v>2334.7958333333336</c:v>
                </c:pt>
                <c:pt idx="32">
                  <c:v>1785.125</c:v>
                </c:pt>
                <c:pt idx="33">
                  <c:v>5273.604166666667</c:v>
                </c:pt>
                <c:pt idx="34">
                  <c:v>6283.3499999999995</c:v>
                </c:pt>
                <c:pt idx="35">
                  <c:v>1578.2708333333333</c:v>
                </c:pt>
                <c:pt idx="36">
                  <c:v>1500</c:v>
                </c:pt>
                <c:pt idx="37">
                  <c:v>1500</c:v>
                </c:pt>
              </c:numCache>
            </c:numRef>
          </c:val>
          <c:extLst>
            <c:ext xmlns:c16="http://schemas.microsoft.com/office/drawing/2014/chart" uri="{C3380CC4-5D6E-409C-BE32-E72D297353CC}">
              <c16:uniqueId val="{00000002-2B32-4BDD-BFDC-1BC21699FF8D}"/>
            </c:ext>
          </c:extLst>
        </c:ser>
        <c:dLbls>
          <c:showLegendKey val="0"/>
          <c:showVal val="0"/>
          <c:showCatName val="0"/>
          <c:showSerName val="0"/>
          <c:showPercent val="0"/>
          <c:showBubbleSize val="0"/>
        </c:dLbls>
        <c:gapWidth val="219"/>
        <c:overlap val="-27"/>
        <c:axId val="168450208"/>
        <c:axId val="168446288"/>
      </c:barChart>
      <c:catAx>
        <c:axId val="168450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446288"/>
        <c:crosses val="autoZero"/>
        <c:auto val="1"/>
        <c:lblAlgn val="ctr"/>
        <c:lblOffset val="100"/>
        <c:noMultiLvlLbl val="0"/>
      </c:catAx>
      <c:valAx>
        <c:axId val="16844628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450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solidFill>
                  <a:sysClr val="windowText" lastClr="000000"/>
                </a:solidFill>
              </a:rPr>
              <a:t>Royal Society Publications Division Surpluses (including admin/staff costs if stated), 1950-80 (unadjusted)</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Surplus_deficit!$H$1</c:f>
              <c:strCache>
                <c:ptCount val="1"/>
                <c:pt idx="0">
                  <c:v>Total Pubs surplus on sales-only</c:v>
                </c:pt>
              </c:strCache>
            </c:strRef>
          </c:tx>
          <c:spPr>
            <a:solidFill>
              <a:srgbClr val="FF5050"/>
            </a:solidFill>
            <a:ln>
              <a:noFill/>
            </a:ln>
            <a:effectLst/>
          </c:spPr>
          <c:invertIfNegative val="0"/>
          <c:cat>
            <c:numRef>
              <c:f>Surplus_deficit!$A$72:$A$102</c:f>
              <c:numCache>
                <c:formatCode>General</c:formatCode>
                <c:ptCount val="3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numCache>
            </c:numRef>
          </c:cat>
          <c:val>
            <c:numRef>
              <c:f>Surplus_deficit!$H$72:$H$102</c:f>
              <c:numCache>
                <c:formatCode>_(* #,##0.00_);_(* \(#,##0.00\);_(* "-"??_);_(@_)</c:formatCode>
                <c:ptCount val="31"/>
                <c:pt idx="0">
                  <c:v>-2891.6791666666613</c:v>
                </c:pt>
                <c:pt idx="1">
                  <c:v>-1469.8374999999978</c:v>
                </c:pt>
                <c:pt idx="2">
                  <c:v>-5521.3208333333314</c:v>
                </c:pt>
                <c:pt idx="3">
                  <c:v>-5693.5625000000036</c:v>
                </c:pt>
                <c:pt idx="4">
                  <c:v>-7036.7499999999964</c:v>
                </c:pt>
                <c:pt idx="5">
                  <c:v>16547.162500000006</c:v>
                </c:pt>
                <c:pt idx="6">
                  <c:v>25429.025000000005</c:v>
                </c:pt>
                <c:pt idx="7">
                  <c:v>16469.108333333337</c:v>
                </c:pt>
                <c:pt idx="8">
                  <c:v>22119.129166666666</c:v>
                </c:pt>
                <c:pt idx="9">
                  <c:v>17079.445833333331</c:v>
                </c:pt>
                <c:pt idx="10">
                  <c:v>8926.4166666666715</c:v>
                </c:pt>
                <c:pt idx="11">
                  <c:v>24219.866666666676</c:v>
                </c:pt>
                <c:pt idx="12">
                  <c:v>15853.783333333333</c:v>
                </c:pt>
                <c:pt idx="13">
                  <c:v>23374.716666666682</c:v>
                </c:pt>
                <c:pt idx="14">
                  <c:v>55655</c:v>
                </c:pt>
                <c:pt idx="15">
                  <c:v>32359</c:v>
                </c:pt>
                <c:pt idx="16">
                  <c:v>48222.883333333346</c:v>
                </c:pt>
                <c:pt idx="17">
                  <c:v>50913</c:v>
                </c:pt>
                <c:pt idx="18">
                  <c:v>54386.274999999994</c:v>
                </c:pt>
                <c:pt idx="19">
                  <c:v>77595</c:v>
                </c:pt>
                <c:pt idx="20">
                  <c:v>78579</c:v>
                </c:pt>
                <c:pt idx="21">
                  <c:v>76684</c:v>
                </c:pt>
                <c:pt idx="22">
                  <c:v>41861</c:v>
                </c:pt>
                <c:pt idx="23">
                  <c:v>49920</c:v>
                </c:pt>
                <c:pt idx="24">
                  <c:v>106312</c:v>
                </c:pt>
                <c:pt idx="25">
                  <c:v>68980</c:v>
                </c:pt>
                <c:pt idx="26">
                  <c:v>107434</c:v>
                </c:pt>
                <c:pt idx="27">
                  <c:v>180794</c:v>
                </c:pt>
                <c:pt idx="28">
                  <c:v>229139</c:v>
                </c:pt>
                <c:pt idx="29">
                  <c:v>131008</c:v>
                </c:pt>
                <c:pt idx="30">
                  <c:v>28748.380000000005</c:v>
                </c:pt>
              </c:numCache>
            </c:numRef>
          </c:val>
          <c:extLst>
            <c:ext xmlns:c16="http://schemas.microsoft.com/office/drawing/2014/chart" uri="{C3380CC4-5D6E-409C-BE32-E72D297353CC}">
              <c16:uniqueId val="{00000000-D55F-4DF2-8C49-CF87940974F7}"/>
            </c:ext>
          </c:extLst>
        </c:ser>
        <c:dLbls>
          <c:showLegendKey val="0"/>
          <c:showVal val="0"/>
          <c:showCatName val="0"/>
          <c:showSerName val="0"/>
          <c:showPercent val="0"/>
          <c:showBubbleSize val="0"/>
        </c:dLbls>
        <c:gapWidth val="219"/>
        <c:overlap val="-27"/>
        <c:axId val="166183408"/>
        <c:axId val="166183968"/>
      </c:barChart>
      <c:catAx>
        <c:axId val="166183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183968"/>
        <c:crosses val="autoZero"/>
        <c:auto val="1"/>
        <c:lblAlgn val="ctr"/>
        <c:lblOffset val="100"/>
        <c:noMultiLvlLbl val="0"/>
      </c:catAx>
      <c:valAx>
        <c:axId val="16618396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183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solidFill>
                  <a:sysClr val="windowText" lastClr="000000"/>
                </a:solidFill>
              </a:rPr>
              <a:t>Royal Society Publications Division Surpluses (including admin/staff costs if stated), 1970-2000 (unadjusted)</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Surplus_deficit!$H$1</c:f>
              <c:strCache>
                <c:ptCount val="1"/>
                <c:pt idx="0">
                  <c:v>Total Pubs surplus on sales-only</c:v>
                </c:pt>
              </c:strCache>
            </c:strRef>
          </c:tx>
          <c:spPr>
            <a:solidFill>
              <a:srgbClr val="FF5050"/>
            </a:solidFill>
            <a:ln>
              <a:noFill/>
            </a:ln>
            <a:effectLst/>
          </c:spPr>
          <c:invertIfNegative val="0"/>
          <c:dPt>
            <c:idx val="1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1-E47C-4E1D-B1B8-E9BCD1FD3C50}"/>
              </c:ext>
            </c:extLst>
          </c:dPt>
          <c:cat>
            <c:numRef>
              <c:f>Surplus_deficit!$A$92:$A$122</c:f>
              <c:numCache>
                <c:formatCode>General</c:formatCode>
                <c:ptCount val="3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numCache>
            </c:numRef>
          </c:cat>
          <c:val>
            <c:numRef>
              <c:f>Surplus_deficit!$H$92:$H$122</c:f>
              <c:numCache>
                <c:formatCode>_(* #,##0.00_);_(* \(#,##0.00\);_(* "-"??_);_(@_)</c:formatCode>
                <c:ptCount val="31"/>
                <c:pt idx="0">
                  <c:v>78579</c:v>
                </c:pt>
                <c:pt idx="1">
                  <c:v>76684</c:v>
                </c:pt>
                <c:pt idx="2">
                  <c:v>41861</c:v>
                </c:pt>
                <c:pt idx="3">
                  <c:v>49920</c:v>
                </c:pt>
                <c:pt idx="4">
                  <c:v>106312</c:v>
                </c:pt>
                <c:pt idx="5">
                  <c:v>68980</c:v>
                </c:pt>
                <c:pt idx="6">
                  <c:v>107434</c:v>
                </c:pt>
                <c:pt idx="7">
                  <c:v>180794</c:v>
                </c:pt>
                <c:pt idx="8">
                  <c:v>229139</c:v>
                </c:pt>
                <c:pt idx="9">
                  <c:v>131008</c:v>
                </c:pt>
                <c:pt idx="10">
                  <c:v>28748.380000000005</c:v>
                </c:pt>
                <c:pt idx="11">
                  <c:v>42551.930000000051</c:v>
                </c:pt>
                <c:pt idx="12">
                  <c:v>115123</c:v>
                </c:pt>
                <c:pt idx="13">
                  <c:v>142406</c:v>
                </c:pt>
                <c:pt idx="14">
                  <c:v>160232</c:v>
                </c:pt>
                <c:pt idx="15">
                  <c:v>215220</c:v>
                </c:pt>
                <c:pt idx="16">
                  <c:v>212732</c:v>
                </c:pt>
                <c:pt idx="17">
                  <c:v>160981</c:v>
                </c:pt>
                <c:pt idx="18">
                  <c:v>161407</c:v>
                </c:pt>
                <c:pt idx="19">
                  <c:v>181222</c:v>
                </c:pt>
                <c:pt idx="20">
                  <c:v>69185</c:v>
                </c:pt>
                <c:pt idx="21">
                  <c:v>128819</c:v>
                </c:pt>
                <c:pt idx="22">
                  <c:v>327556</c:v>
                </c:pt>
                <c:pt idx="23">
                  <c:v>361227</c:v>
                </c:pt>
                <c:pt idx="24">
                  <c:v>320363</c:v>
                </c:pt>
                <c:pt idx="25">
                  <c:v>354213</c:v>
                </c:pt>
                <c:pt idx="26">
                  <c:v>250312</c:v>
                </c:pt>
                <c:pt idx="27">
                  <c:v>162000</c:v>
                </c:pt>
                <c:pt idx="28">
                  <c:v>333000</c:v>
                </c:pt>
                <c:pt idx="29">
                  <c:v>283000</c:v>
                </c:pt>
                <c:pt idx="30">
                  <c:v>298000</c:v>
                </c:pt>
              </c:numCache>
            </c:numRef>
          </c:val>
          <c:extLst>
            <c:ext xmlns:c16="http://schemas.microsoft.com/office/drawing/2014/chart" uri="{C3380CC4-5D6E-409C-BE32-E72D297353CC}">
              <c16:uniqueId val="{00000000-D55F-4DF2-8C49-CF87940974F7}"/>
            </c:ext>
          </c:extLst>
        </c:ser>
        <c:dLbls>
          <c:showLegendKey val="0"/>
          <c:showVal val="0"/>
          <c:showCatName val="0"/>
          <c:showSerName val="0"/>
          <c:showPercent val="0"/>
          <c:showBubbleSize val="0"/>
        </c:dLbls>
        <c:gapWidth val="219"/>
        <c:overlap val="-27"/>
        <c:axId val="250052704"/>
        <c:axId val="250053264"/>
      </c:barChart>
      <c:catAx>
        <c:axId val="25005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0053264"/>
        <c:crosses val="autoZero"/>
        <c:auto val="1"/>
        <c:lblAlgn val="ctr"/>
        <c:lblOffset val="100"/>
        <c:noMultiLvlLbl val="0"/>
      </c:catAx>
      <c:valAx>
        <c:axId val="250053264"/>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0052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solidFill>
                  <a:sysClr val="windowText" lastClr="000000"/>
                </a:solidFill>
              </a:rPr>
              <a:t>Royal Society Publications Division Surpluses (including admin/staff costs if stated), 1955-2000 (adjusted to 1970£)</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Surplus_deficit!$A$77:$A$122</c:f>
              <c:numCache>
                <c:formatCode>General</c:formatCode>
                <c:ptCount val="4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numCache>
            </c:numRef>
          </c:cat>
          <c:val>
            <c:numRef>
              <c:f>Surplus_deficit!#REF!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Surplus_deficit!#REF!</c15:sqref>
                        </c15:formulaRef>
                      </c:ext>
                    </c:extLst>
                    <c:strCache>
                      <c:ptCount val="1"/>
                      <c:pt idx="0">
                        <c:v>#REF!</c:v>
                      </c:pt>
                    </c:strCache>
                  </c:strRef>
                </c15:tx>
              </c15:filteredSeriesTitle>
            </c:ext>
            <c:ext xmlns:c16="http://schemas.microsoft.com/office/drawing/2014/chart" uri="{C3380CC4-5D6E-409C-BE32-E72D297353CC}">
              <c16:uniqueId val="{00000000-D55F-4DF2-8C49-CF87940974F7}"/>
            </c:ext>
          </c:extLst>
        </c:ser>
        <c:dLbls>
          <c:showLegendKey val="0"/>
          <c:showVal val="0"/>
          <c:showCatName val="0"/>
          <c:showSerName val="0"/>
          <c:showPercent val="0"/>
          <c:showBubbleSize val="0"/>
        </c:dLbls>
        <c:gapWidth val="219"/>
        <c:overlap val="-27"/>
        <c:axId val="250056064"/>
        <c:axId val="250056624"/>
      </c:barChart>
      <c:catAx>
        <c:axId val="250056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0056624"/>
        <c:crosses val="autoZero"/>
        <c:auto val="1"/>
        <c:lblAlgn val="ctr"/>
        <c:lblOffset val="100"/>
        <c:noMultiLvlLbl val="0"/>
      </c:catAx>
      <c:valAx>
        <c:axId val="250056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0056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Gross</a:t>
            </a:r>
            <a:r>
              <a:rPr lang="en-US" b="1" baseline="0">
                <a:solidFill>
                  <a:sysClr val="windowText" lastClr="000000"/>
                </a:solidFill>
              </a:rPr>
              <a:t> Margin (s</a:t>
            </a:r>
            <a:r>
              <a:rPr lang="en-US" b="1">
                <a:solidFill>
                  <a:sysClr val="windowText" lastClr="000000"/>
                </a:solidFill>
              </a:rPr>
              <a:t>urplus as % of sales income) for Royal Society Publishing, 1920-2011</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Surplus_deficit!$J$1</c:f>
              <c:strCache>
                <c:ptCount val="1"/>
                <c:pt idx="0">
                  <c:v>surplus as % of sales income</c:v>
                </c:pt>
              </c:strCache>
            </c:strRef>
          </c:tx>
          <c:spPr>
            <a:solidFill>
              <a:schemeClr val="accent1"/>
            </a:solidFill>
            <a:ln>
              <a:noFill/>
            </a:ln>
            <a:effectLst/>
          </c:spPr>
          <c:invertIfNegative val="0"/>
          <c:cat>
            <c:numRef>
              <c:f>Surplus_deficit!$A$42:$A$133</c:f>
              <c:numCache>
                <c:formatCode>General</c:formatCode>
                <c:ptCount val="92"/>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numCache>
            </c:numRef>
          </c:cat>
          <c:val>
            <c:numRef>
              <c:f>Surplus_deficit!$J$42:$J$133</c:f>
              <c:numCache>
                <c:formatCode>0.000</c:formatCode>
                <c:ptCount val="92"/>
                <c:pt idx="0">
                  <c:v>-354.00321959884542</c:v>
                </c:pt>
                <c:pt idx="1">
                  <c:v>-154.72123306983013</c:v>
                </c:pt>
                <c:pt idx="2">
                  <c:v>-204.96485390178404</c:v>
                </c:pt>
                <c:pt idx="3">
                  <c:v>-184.34987846257238</c:v>
                </c:pt>
                <c:pt idx="4">
                  <c:v>-142.14456230738628</c:v>
                </c:pt>
                <c:pt idx="5">
                  <c:v>-128.66454589660682</c:v>
                </c:pt>
                <c:pt idx="6">
                  <c:v>-134.89251261296229</c:v>
                </c:pt>
                <c:pt idx="7">
                  <c:v>-145.83998554086213</c:v>
                </c:pt>
                <c:pt idx="8">
                  <c:v>-122.24324573312154</c:v>
                </c:pt>
                <c:pt idx="9">
                  <c:v>-113.18050844398743</c:v>
                </c:pt>
                <c:pt idx="10">
                  <c:v>-87.996835113581923</c:v>
                </c:pt>
                <c:pt idx="11">
                  <c:v>-51.022822665605837</c:v>
                </c:pt>
                <c:pt idx="12">
                  <c:v>-52.118839137490852</c:v>
                </c:pt>
                <c:pt idx="13">
                  <c:v>-51.507277839433868</c:v>
                </c:pt>
                <c:pt idx="14">
                  <c:v>-29.678112418908047</c:v>
                </c:pt>
                <c:pt idx="15">
                  <c:v>-46.22096364907889</c:v>
                </c:pt>
                <c:pt idx="16">
                  <c:v>-41.535500658674259</c:v>
                </c:pt>
                <c:pt idx="17">
                  <c:v>-41.942083892596251</c:v>
                </c:pt>
                <c:pt idx="18">
                  <c:v>-23.480655799481941</c:v>
                </c:pt>
                <c:pt idx="19">
                  <c:v>-35.194465624541238</c:v>
                </c:pt>
                <c:pt idx="20">
                  <c:v>-58.708159124295612</c:v>
                </c:pt>
                <c:pt idx="21">
                  <c:v>-56.889706939819341</c:v>
                </c:pt>
                <c:pt idx="22">
                  <c:v>-123.16801301082447</c:v>
                </c:pt>
                <c:pt idx="23">
                  <c:v>-192.93582301301629</c:v>
                </c:pt>
                <c:pt idx="24">
                  <c:v>-96.786987298559168</c:v>
                </c:pt>
                <c:pt idx="25">
                  <c:v>-114.59553176280933</c:v>
                </c:pt>
                <c:pt idx="26">
                  <c:v>-57.256331378896846</c:v>
                </c:pt>
                <c:pt idx="27">
                  <c:v>-73.480810835879964</c:v>
                </c:pt>
                <c:pt idx="28">
                  <c:v>-26.702782104283759</c:v>
                </c:pt>
                <c:pt idx="29">
                  <c:v>1.782991983130398</c:v>
                </c:pt>
                <c:pt idx="30">
                  <c:v>-17.617101816508232</c:v>
                </c:pt>
                <c:pt idx="31">
                  <c:v>-6.314283080486466</c:v>
                </c:pt>
                <c:pt idx="32">
                  <c:v>-18.537408685093315</c:v>
                </c:pt>
                <c:pt idx="33">
                  <c:v>-22.650555317411634</c:v>
                </c:pt>
                <c:pt idx="34">
                  <c:v>-36.173804418301117</c:v>
                </c:pt>
                <c:pt idx="35">
                  <c:v>27.493292860770993</c:v>
                </c:pt>
                <c:pt idx="36">
                  <c:v>46.611141843390435</c:v>
                </c:pt>
                <c:pt idx="37">
                  <c:v>31.014410853183371</c:v>
                </c:pt>
                <c:pt idx="38">
                  <c:v>34.196325090196616</c:v>
                </c:pt>
                <c:pt idx="39">
                  <c:v>29.503160219766517</c:v>
                </c:pt>
                <c:pt idx="40">
                  <c:v>12.674825821279128</c:v>
                </c:pt>
                <c:pt idx="41">
                  <c:v>33.206341001887814</c:v>
                </c:pt>
                <c:pt idx="42">
                  <c:v>20.82825888843491</c:v>
                </c:pt>
                <c:pt idx="43">
                  <c:v>29.180732930065641</c:v>
                </c:pt>
                <c:pt idx="44">
                  <c:v>44.907328960002587</c:v>
                </c:pt>
                <c:pt idx="45">
                  <c:v>29.294502131974184</c:v>
                </c:pt>
                <c:pt idx="46">
                  <c:v>33.538791354842054</c:v>
                </c:pt>
                <c:pt idx="47">
                  <c:v>34.449789903172764</c:v>
                </c:pt>
                <c:pt idx="48">
                  <c:v>39.050635032137542</c:v>
                </c:pt>
                <c:pt idx="49">
                  <c:v>42.662744666813282</c:v>
                </c:pt>
                <c:pt idx="50">
                  <c:v>38.639962234832467</c:v>
                </c:pt>
                <c:pt idx="51">
                  <c:v>30.698281418260283</c:v>
                </c:pt>
                <c:pt idx="52">
                  <c:v>20.619658645912864</c:v>
                </c:pt>
                <c:pt idx="53">
                  <c:v>27.181843922200684</c:v>
                </c:pt>
                <c:pt idx="54">
                  <c:v>38.644475730537145</c:v>
                </c:pt>
                <c:pt idx="55">
                  <c:v>20.916404125061781</c:v>
                </c:pt>
                <c:pt idx="56">
                  <c:v>24.475782567093454</c:v>
                </c:pt>
                <c:pt idx="57">
                  <c:v>31.555706047446836</c:v>
                </c:pt>
                <c:pt idx="58">
                  <c:v>36.44172384069519</c:v>
                </c:pt>
                <c:pt idx="59">
                  <c:v>25.389196490690875</c:v>
                </c:pt>
                <c:pt idx="60">
                  <c:v>3.7920519388699976</c:v>
                </c:pt>
                <c:pt idx="61">
                  <c:v>5.0347358536492042</c:v>
                </c:pt>
                <c:pt idx="62">
                  <c:v>12.3562835946489</c:v>
                </c:pt>
                <c:pt idx="63">
                  <c:v>14.622030281934546</c:v>
                </c:pt>
                <c:pt idx="64">
                  <c:v>16.957436022804362</c:v>
                </c:pt>
                <c:pt idx="65">
                  <c:v>21.23276724459414</c:v>
                </c:pt>
                <c:pt idx="66">
                  <c:v>20.586635699424203</c:v>
                </c:pt>
                <c:pt idx="67">
                  <c:v>15.02122815366384</c:v>
                </c:pt>
                <c:pt idx="68">
                  <c:v>13.936719331480941</c:v>
                </c:pt>
                <c:pt idx="69">
                  <c:v>15.757283815790846</c:v>
                </c:pt>
                <c:pt idx="70">
                  <c:v>5.2457626733107183</c:v>
                </c:pt>
                <c:pt idx="71">
                  <c:v>18.449021329250705</c:v>
                </c:pt>
                <c:pt idx="72">
                  <c:v>24.641666108719249</c:v>
                </c:pt>
                <c:pt idx="73">
                  <c:v>26.022525235352258</c:v>
                </c:pt>
                <c:pt idx="74">
                  <c:v>23.924076344839225</c:v>
                </c:pt>
                <c:pt idx="75">
                  <c:v>26.181970582952484</c:v>
                </c:pt>
                <c:pt idx="76">
                  <c:v>19.148568324905714</c:v>
                </c:pt>
                <c:pt idx="77">
                  <c:v>11.964549483013293</c:v>
                </c:pt>
                <c:pt idx="78">
                  <c:v>21.595330739299612</c:v>
                </c:pt>
                <c:pt idx="79">
                  <c:v>17.821158690176322</c:v>
                </c:pt>
                <c:pt idx="80">
                  <c:v>16.713404374649468</c:v>
                </c:pt>
                <c:pt idx="81">
                  <c:v>13.59278059785674</c:v>
                </c:pt>
                <c:pt idx="83">
                  <c:v>16.658071170706549</c:v>
                </c:pt>
                <c:pt idx="84">
                  <c:v>17.015341701534169</c:v>
                </c:pt>
                <c:pt idx="85">
                  <c:v>23.710919800634347</c:v>
                </c:pt>
                <c:pt idx="86">
                  <c:v>23.821656050955415</c:v>
                </c:pt>
                <c:pt idx="87">
                  <c:v>27.138531415594247</c:v>
                </c:pt>
                <c:pt idx="88">
                  <c:v>26.379137412236709</c:v>
                </c:pt>
                <c:pt idx="89">
                  <c:v>20.020560267283475</c:v>
                </c:pt>
                <c:pt idx="90">
                  <c:v>30.174621653084984</c:v>
                </c:pt>
                <c:pt idx="91">
                  <c:v>32.274171584203359</c:v>
                </c:pt>
              </c:numCache>
            </c:numRef>
          </c:val>
          <c:extLst>
            <c:ext xmlns:c16="http://schemas.microsoft.com/office/drawing/2014/chart" uri="{C3380CC4-5D6E-409C-BE32-E72D297353CC}">
              <c16:uniqueId val="{00000000-D60B-40FF-BEC8-98D925EC6143}"/>
            </c:ext>
          </c:extLst>
        </c:ser>
        <c:dLbls>
          <c:showLegendKey val="0"/>
          <c:showVal val="0"/>
          <c:showCatName val="0"/>
          <c:showSerName val="0"/>
          <c:showPercent val="0"/>
          <c:showBubbleSize val="0"/>
        </c:dLbls>
        <c:gapWidth val="219"/>
        <c:overlap val="-27"/>
        <c:axId val="241191536"/>
        <c:axId val="241193216"/>
      </c:barChart>
      <c:catAx>
        <c:axId val="2411915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193216"/>
        <c:crosses val="autoZero"/>
        <c:auto val="1"/>
        <c:lblAlgn val="ctr"/>
        <c:lblOffset val="100"/>
        <c:tickLblSkip val="5"/>
        <c:tickMarkSkip val="1"/>
        <c:noMultiLvlLbl val="0"/>
      </c:catAx>
      <c:valAx>
        <c:axId val="241193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191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Gross</a:t>
            </a:r>
            <a:r>
              <a:rPr lang="en-US" b="1" baseline="0">
                <a:solidFill>
                  <a:sysClr val="windowText" lastClr="000000"/>
                </a:solidFill>
              </a:rPr>
              <a:t> Margin (s</a:t>
            </a:r>
            <a:r>
              <a:rPr lang="en-US" b="1">
                <a:solidFill>
                  <a:sysClr val="windowText" lastClr="000000"/>
                </a:solidFill>
              </a:rPr>
              <a:t>urplus as % of sales income) for Royal Society Publishing, 1880-2010</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0"/>
          <c:tx>
            <c:strRef>
              <c:f>Surplus_deficit!$J$1</c:f>
              <c:strCache>
                <c:ptCount val="1"/>
                <c:pt idx="0">
                  <c:v>surplus as % of sales income</c:v>
                </c:pt>
              </c:strCache>
            </c:strRef>
          </c:tx>
          <c:spPr>
            <a:solidFill>
              <a:schemeClr val="accent2"/>
            </a:solidFill>
            <a:ln>
              <a:noFill/>
            </a:ln>
            <a:effectLst/>
          </c:spPr>
          <c:invertIfNegative val="0"/>
          <c:cat>
            <c:numRef>
              <c:f>Surplus_deficit!$A$2:$A$132</c:f>
              <c:numCache>
                <c:formatCode>General</c:formatCode>
                <c:ptCount val="131"/>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numCache>
            </c:numRef>
          </c:cat>
          <c:val>
            <c:numRef>
              <c:f>Surplus_deficit!$J$2:$J$132</c:f>
              <c:numCache>
                <c:formatCode>0.000</c:formatCode>
                <c:ptCount val="131"/>
                <c:pt idx="0">
                  <c:v>-157.11142070101005</c:v>
                </c:pt>
                <c:pt idx="1">
                  <c:v>-137.46310455192031</c:v>
                </c:pt>
                <c:pt idx="2">
                  <c:v>-225.83218970414575</c:v>
                </c:pt>
                <c:pt idx="3">
                  <c:v>-188.38052834099395</c:v>
                </c:pt>
                <c:pt idx="4">
                  <c:v>-147.77005975790388</c:v>
                </c:pt>
                <c:pt idx="6">
                  <c:v>-129.02321159245818</c:v>
                </c:pt>
                <c:pt idx="7">
                  <c:v>-227.154715304961</c:v>
                </c:pt>
                <c:pt idx="8">
                  <c:v>-303.4198700197004</c:v>
                </c:pt>
                <c:pt idx="9">
                  <c:v>-165.77623633300126</c:v>
                </c:pt>
                <c:pt idx="10">
                  <c:v>-227.14888302685074</c:v>
                </c:pt>
                <c:pt idx="11">
                  <c:v>-307.63429615118355</c:v>
                </c:pt>
                <c:pt idx="12">
                  <c:v>-243.52096623085234</c:v>
                </c:pt>
                <c:pt idx="13">
                  <c:v>-414.91734688639053</c:v>
                </c:pt>
                <c:pt idx="14">
                  <c:v>-528.98703916519685</c:v>
                </c:pt>
                <c:pt idx="15">
                  <c:v>-79.683942985496387</c:v>
                </c:pt>
                <c:pt idx="16">
                  <c:v>-195.74482850660613</c:v>
                </c:pt>
                <c:pt idx="17">
                  <c:v>-181.74515036493122</c:v>
                </c:pt>
                <c:pt idx="18">
                  <c:v>-407.91025975821441</c:v>
                </c:pt>
                <c:pt idx="20">
                  <c:v>-213.45592733775703</c:v>
                </c:pt>
                <c:pt idx="21">
                  <c:v>-236.44317439243221</c:v>
                </c:pt>
                <c:pt idx="22">
                  <c:v>-140.74708408298372</c:v>
                </c:pt>
                <c:pt idx="23">
                  <c:v>-148.27810744919589</c:v>
                </c:pt>
                <c:pt idx="24">
                  <c:v>-221.15951459469434</c:v>
                </c:pt>
                <c:pt idx="25">
                  <c:v>-171.68423034453986</c:v>
                </c:pt>
                <c:pt idx="26">
                  <c:v>-326.77863826592335</c:v>
                </c:pt>
                <c:pt idx="27">
                  <c:v>-109.33043852137175</c:v>
                </c:pt>
                <c:pt idx="28">
                  <c:v>-158.41272628307553</c:v>
                </c:pt>
                <c:pt idx="29">
                  <c:v>-117.32835382342043</c:v>
                </c:pt>
                <c:pt idx="30">
                  <c:v>-159.59084464249545</c:v>
                </c:pt>
                <c:pt idx="31">
                  <c:v>-152.94073323677404</c:v>
                </c:pt>
                <c:pt idx="32">
                  <c:v>-132.05255930423544</c:v>
                </c:pt>
                <c:pt idx="33">
                  <c:v>-127.38238601869084</c:v>
                </c:pt>
                <c:pt idx="34">
                  <c:v>-178.01025663746222</c:v>
                </c:pt>
                <c:pt idx="35">
                  <c:v>-160.24656314354093</c:v>
                </c:pt>
                <c:pt idx="36">
                  <c:v>-204.05247890997154</c:v>
                </c:pt>
                <c:pt idx="37">
                  <c:v>-157.69667036888248</c:v>
                </c:pt>
                <c:pt idx="38">
                  <c:v>-229.87234639483771</c:v>
                </c:pt>
                <c:pt idx="39">
                  <c:v>-163.29527445613024</c:v>
                </c:pt>
                <c:pt idx="40">
                  <c:v>-354.00321959884542</c:v>
                </c:pt>
                <c:pt idx="41">
                  <c:v>-154.72123306983013</c:v>
                </c:pt>
                <c:pt idx="42">
                  <c:v>-204.96485390178404</c:v>
                </c:pt>
                <c:pt idx="43">
                  <c:v>-184.34987846257238</c:v>
                </c:pt>
                <c:pt idx="44">
                  <c:v>-142.14456230738628</c:v>
                </c:pt>
                <c:pt idx="45">
                  <c:v>-128.66454589660682</c:v>
                </c:pt>
                <c:pt idx="46">
                  <c:v>-134.89251261296229</c:v>
                </c:pt>
                <c:pt idx="47">
                  <c:v>-145.83998554086213</c:v>
                </c:pt>
                <c:pt idx="48">
                  <c:v>-122.24324573312154</c:v>
                </c:pt>
                <c:pt idx="49">
                  <c:v>-113.18050844398743</c:v>
                </c:pt>
                <c:pt idx="50">
                  <c:v>-87.996835113581923</c:v>
                </c:pt>
                <c:pt idx="51">
                  <c:v>-51.022822665605837</c:v>
                </c:pt>
                <c:pt idx="52">
                  <c:v>-52.118839137490852</c:v>
                </c:pt>
                <c:pt idx="53">
                  <c:v>-51.507277839433868</c:v>
                </c:pt>
                <c:pt idx="54">
                  <c:v>-29.678112418908047</c:v>
                </c:pt>
                <c:pt idx="55">
                  <c:v>-46.22096364907889</c:v>
                </c:pt>
                <c:pt idx="56">
                  <c:v>-41.535500658674259</c:v>
                </c:pt>
                <c:pt idx="57">
                  <c:v>-41.942083892596251</c:v>
                </c:pt>
                <c:pt idx="58">
                  <c:v>-23.480655799481941</c:v>
                </c:pt>
                <c:pt idx="59">
                  <c:v>-35.194465624541238</c:v>
                </c:pt>
                <c:pt idx="60">
                  <c:v>-58.708159124295612</c:v>
                </c:pt>
                <c:pt idx="61">
                  <c:v>-56.889706939819341</c:v>
                </c:pt>
                <c:pt idx="62">
                  <c:v>-123.16801301082447</c:v>
                </c:pt>
                <c:pt idx="63">
                  <c:v>-192.93582301301629</c:v>
                </c:pt>
                <c:pt idx="64">
                  <c:v>-96.786987298559168</c:v>
                </c:pt>
                <c:pt idx="65">
                  <c:v>-114.59553176280933</c:v>
                </c:pt>
                <c:pt idx="66">
                  <c:v>-57.256331378896846</c:v>
                </c:pt>
                <c:pt idx="67">
                  <c:v>-73.480810835879964</c:v>
                </c:pt>
                <c:pt idx="68">
                  <c:v>-26.702782104283759</c:v>
                </c:pt>
                <c:pt idx="69">
                  <c:v>1.782991983130398</c:v>
                </c:pt>
                <c:pt idx="70">
                  <c:v>-17.617101816508232</c:v>
                </c:pt>
                <c:pt idx="71">
                  <c:v>-6.314283080486466</c:v>
                </c:pt>
                <c:pt idx="72">
                  <c:v>-18.537408685093315</c:v>
                </c:pt>
                <c:pt idx="73">
                  <c:v>-22.650555317411634</c:v>
                </c:pt>
                <c:pt idx="74">
                  <c:v>-36.173804418301117</c:v>
                </c:pt>
                <c:pt idx="75">
                  <c:v>27.493292860770993</c:v>
                </c:pt>
                <c:pt idx="76">
                  <c:v>46.611141843390435</c:v>
                </c:pt>
                <c:pt idx="77">
                  <c:v>31.014410853183371</c:v>
                </c:pt>
                <c:pt idx="78">
                  <c:v>34.196325090196616</c:v>
                </c:pt>
                <c:pt idx="79">
                  <c:v>29.503160219766517</c:v>
                </c:pt>
                <c:pt idx="80">
                  <c:v>12.674825821279128</c:v>
                </c:pt>
                <c:pt idx="81">
                  <c:v>33.206341001887814</c:v>
                </c:pt>
                <c:pt idx="82">
                  <c:v>20.82825888843491</c:v>
                </c:pt>
                <c:pt idx="83">
                  <c:v>29.180732930065641</c:v>
                </c:pt>
                <c:pt idx="84">
                  <c:v>44.907328960002587</c:v>
                </c:pt>
                <c:pt idx="85">
                  <c:v>29.294502131974184</c:v>
                </c:pt>
                <c:pt idx="86">
                  <c:v>33.538791354842054</c:v>
                </c:pt>
                <c:pt idx="87">
                  <c:v>34.449789903172764</c:v>
                </c:pt>
                <c:pt idx="88">
                  <c:v>39.050635032137542</c:v>
                </c:pt>
                <c:pt idx="89">
                  <c:v>42.662744666813282</c:v>
                </c:pt>
                <c:pt idx="90">
                  <c:v>38.639962234832467</c:v>
                </c:pt>
                <c:pt idx="91">
                  <c:v>30.698281418260283</c:v>
                </c:pt>
                <c:pt idx="92">
                  <c:v>20.619658645912864</c:v>
                </c:pt>
                <c:pt idx="93">
                  <c:v>27.181843922200684</c:v>
                </c:pt>
                <c:pt idx="94">
                  <c:v>38.644475730537145</c:v>
                </c:pt>
                <c:pt idx="95">
                  <c:v>20.916404125061781</c:v>
                </c:pt>
                <c:pt idx="96">
                  <c:v>24.475782567093454</c:v>
                </c:pt>
                <c:pt idx="97">
                  <c:v>31.555706047446836</c:v>
                </c:pt>
                <c:pt idx="98">
                  <c:v>36.44172384069519</c:v>
                </c:pt>
                <c:pt idx="99">
                  <c:v>25.389196490690875</c:v>
                </c:pt>
                <c:pt idx="100">
                  <c:v>3.7920519388699976</c:v>
                </c:pt>
                <c:pt idx="101">
                  <c:v>5.0347358536492042</c:v>
                </c:pt>
                <c:pt idx="102">
                  <c:v>12.3562835946489</c:v>
                </c:pt>
                <c:pt idx="103">
                  <c:v>14.622030281934546</c:v>
                </c:pt>
                <c:pt idx="104">
                  <c:v>16.957436022804362</c:v>
                </c:pt>
                <c:pt idx="105">
                  <c:v>21.23276724459414</c:v>
                </c:pt>
                <c:pt idx="106">
                  <c:v>20.586635699424203</c:v>
                </c:pt>
                <c:pt idx="107">
                  <c:v>15.02122815366384</c:v>
                </c:pt>
                <c:pt idx="108">
                  <c:v>13.936719331480941</c:v>
                </c:pt>
                <c:pt idx="109">
                  <c:v>15.757283815790846</c:v>
                </c:pt>
                <c:pt idx="110">
                  <c:v>5.2457626733107183</c:v>
                </c:pt>
                <c:pt idx="111">
                  <c:v>18.449021329250705</c:v>
                </c:pt>
                <c:pt idx="112">
                  <c:v>24.641666108719249</c:v>
                </c:pt>
                <c:pt idx="113">
                  <c:v>26.022525235352258</c:v>
                </c:pt>
                <c:pt idx="114">
                  <c:v>23.924076344839225</c:v>
                </c:pt>
                <c:pt idx="115">
                  <c:v>26.181970582952484</c:v>
                </c:pt>
                <c:pt idx="116">
                  <c:v>19.148568324905714</c:v>
                </c:pt>
                <c:pt idx="117">
                  <c:v>11.964549483013293</c:v>
                </c:pt>
                <c:pt idx="118">
                  <c:v>21.595330739299612</c:v>
                </c:pt>
                <c:pt idx="119">
                  <c:v>17.821158690176322</c:v>
                </c:pt>
                <c:pt idx="120">
                  <c:v>16.713404374649468</c:v>
                </c:pt>
                <c:pt idx="121">
                  <c:v>13.59278059785674</c:v>
                </c:pt>
                <c:pt idx="123">
                  <c:v>16.658071170706549</c:v>
                </c:pt>
                <c:pt idx="124">
                  <c:v>17.015341701534169</c:v>
                </c:pt>
                <c:pt idx="125">
                  <c:v>23.710919800634347</c:v>
                </c:pt>
                <c:pt idx="126">
                  <c:v>23.821656050955415</c:v>
                </c:pt>
                <c:pt idx="127">
                  <c:v>27.138531415594247</c:v>
                </c:pt>
                <c:pt idx="128">
                  <c:v>26.379137412236709</c:v>
                </c:pt>
                <c:pt idx="129">
                  <c:v>20.020560267283475</c:v>
                </c:pt>
                <c:pt idx="130">
                  <c:v>30.174621653084984</c:v>
                </c:pt>
              </c:numCache>
            </c:numRef>
          </c:val>
          <c:extLst>
            <c:ext xmlns:c16="http://schemas.microsoft.com/office/drawing/2014/chart" uri="{C3380CC4-5D6E-409C-BE32-E72D297353CC}">
              <c16:uniqueId val="{00000001-78A0-4022-B799-B79D7A240F8F}"/>
            </c:ext>
          </c:extLst>
        </c:ser>
        <c:dLbls>
          <c:showLegendKey val="0"/>
          <c:showVal val="0"/>
          <c:showCatName val="0"/>
          <c:showSerName val="0"/>
          <c:showPercent val="0"/>
          <c:showBubbleSize val="0"/>
        </c:dLbls>
        <c:gapWidth val="219"/>
        <c:overlap val="-27"/>
        <c:axId val="241191536"/>
        <c:axId val="241193216"/>
      </c:barChart>
      <c:catAx>
        <c:axId val="2411915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193216"/>
        <c:crosses val="autoZero"/>
        <c:auto val="1"/>
        <c:lblAlgn val="ctr"/>
        <c:lblOffset val="100"/>
        <c:tickLblSkip val="5"/>
        <c:tickMarkSkip val="1"/>
        <c:noMultiLvlLbl val="0"/>
      </c:catAx>
      <c:valAx>
        <c:axId val="241193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191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Expense Recovery Ratio </a:t>
            </a:r>
            <a:r>
              <a:rPr lang="en-US" b="1" baseline="0">
                <a:solidFill>
                  <a:sysClr val="windowText" lastClr="000000"/>
                </a:solidFill>
              </a:rPr>
              <a:t>(income </a:t>
            </a:r>
            <a:r>
              <a:rPr lang="en-US" b="1">
                <a:solidFill>
                  <a:sysClr val="windowText" lastClr="000000"/>
                </a:solidFill>
              </a:rPr>
              <a:t>as % of production costs) for Royal Society Publishing, 1880-2010</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1"/>
          <c:order val="0"/>
          <c:tx>
            <c:strRef>
              <c:f>Surplus_deficit!$K$1</c:f>
              <c:strCache>
                <c:ptCount val="1"/>
                <c:pt idx="0">
                  <c:v>Expense Recovery Ratio</c:v>
                </c:pt>
              </c:strCache>
            </c:strRef>
          </c:tx>
          <c:spPr>
            <a:ln w="28575" cap="rnd">
              <a:solidFill>
                <a:schemeClr val="accent2">
                  <a:lumMod val="40000"/>
                  <a:lumOff val="60000"/>
                </a:schemeClr>
              </a:solidFill>
              <a:round/>
            </a:ln>
            <a:effectLst/>
          </c:spPr>
          <c:marker>
            <c:symbol val="none"/>
          </c:marker>
          <c:trendline>
            <c:spPr>
              <a:ln w="25400" cap="rnd">
                <a:solidFill>
                  <a:schemeClr val="accent2"/>
                </a:solidFill>
                <a:prstDash val="solid"/>
              </a:ln>
              <a:effectLst/>
            </c:spPr>
            <c:trendlineType val="movingAvg"/>
            <c:period val="5"/>
            <c:dispRSqr val="0"/>
            <c:dispEq val="0"/>
          </c:trendline>
          <c:cat>
            <c:numRef>
              <c:f>Surplus_deficit!$A$2:$A$132</c:f>
              <c:numCache>
                <c:formatCode>General</c:formatCode>
                <c:ptCount val="131"/>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numCache>
            </c:numRef>
          </c:cat>
          <c:val>
            <c:numRef>
              <c:f>Surplus_deficit!$K$2:$K$132</c:f>
              <c:numCache>
                <c:formatCode>_(* #,##0.00_);_(* \(#,##0.00\);_(* "-"??_);_(@_)</c:formatCode>
                <c:ptCount val="131"/>
                <c:pt idx="0">
                  <c:v>38.89364374688283</c:v>
                </c:pt>
                <c:pt idx="1">
                  <c:v>42.111805195461606</c:v>
                </c:pt>
                <c:pt idx="2">
                  <c:v>30.690644804247114</c:v>
                </c:pt>
                <c:pt idx="3">
                  <c:v>34.676405017801883</c:v>
                </c:pt>
                <c:pt idx="4">
                  <c:v>40.360001566658212</c:v>
                </c:pt>
                <c:pt idx="5">
                  <c:v>7.2658424820520073</c:v>
                </c:pt>
                <c:pt idx="6">
                  <c:v>43.663696489396813</c:v>
                </c:pt>
                <c:pt idx="7">
                  <c:v>30.566577622695693</c:v>
                </c:pt>
                <c:pt idx="8">
                  <c:v>24.788070055923782</c:v>
                </c:pt>
                <c:pt idx="9">
                  <c:v>37.625636279500227</c:v>
                </c:pt>
                <c:pt idx="10">
                  <c:v>30.567122551291888</c:v>
                </c:pt>
                <c:pt idx="11">
                  <c:v>24.531792575890616</c:v>
                </c:pt>
                <c:pt idx="12">
                  <c:v>29.110304706350348</c:v>
                </c:pt>
                <c:pt idx="13">
                  <c:v>19.420592567852186</c:v>
                </c:pt>
                <c:pt idx="14">
                  <c:v>15.898578789909859</c:v>
                </c:pt>
                <c:pt idx="15">
                  <c:v>55.653275600742873</c:v>
                </c:pt>
                <c:pt idx="16">
                  <c:v>33.812932758608241</c:v>
                </c:pt>
                <c:pt idx="17">
                  <c:v>35.493068778814724</c:v>
                </c:pt>
                <c:pt idx="18">
                  <c:v>19.688517425815341</c:v>
                </c:pt>
                <c:pt idx="20">
                  <c:v>31.902411560476683</c:v>
                </c:pt>
                <c:pt idx="21">
                  <c:v>29.722701368688949</c:v>
                </c:pt>
                <c:pt idx="22">
                  <c:v>41.53736705925408</c:v>
                </c:pt>
                <c:pt idx="23">
                  <c:v>40.277413513175972</c:v>
                </c:pt>
                <c:pt idx="24">
                  <c:v>31.137174972443443</c:v>
                </c:pt>
                <c:pt idx="25">
                  <c:v>36.807436292192484</c:v>
                </c:pt>
                <c:pt idx="26">
                  <c:v>23.431350830097212</c:v>
                </c:pt>
                <c:pt idx="27">
                  <c:v>47.771361253700533</c:v>
                </c:pt>
                <c:pt idx="28">
                  <c:v>38.697784524147636</c:v>
                </c:pt>
                <c:pt idx="29">
                  <c:v>46.013324189281867</c:v>
                </c:pt>
                <c:pt idx="30">
                  <c:v>38.522159800249689</c:v>
                </c:pt>
                <c:pt idx="31">
                  <c:v>39.534952998808414</c:v>
                </c:pt>
                <c:pt idx="32">
                  <c:v>43.093685456359793</c:v>
                </c:pt>
                <c:pt idx="33">
                  <c:v>43.978780305251959</c:v>
                </c:pt>
                <c:pt idx="34">
                  <c:v>35.969895934596565</c:v>
                </c:pt>
                <c:pt idx="35">
                  <c:v>38.425099179828266</c:v>
                </c:pt>
                <c:pt idx="36">
                  <c:v>32.889059269801088</c:v>
                </c:pt>
                <c:pt idx="37">
                  <c:v>38.805313183462559</c:v>
                </c:pt>
                <c:pt idx="38">
                  <c:v>30.314756933370191</c:v>
                </c:pt>
                <c:pt idx="39">
                  <c:v>37.980172719226609</c:v>
                </c:pt>
                <c:pt idx="40">
                  <c:v>22.026275515922421</c:v>
                </c:pt>
                <c:pt idx="41">
                  <c:v>39.258603923523594</c:v>
                </c:pt>
                <c:pt idx="42">
                  <c:v>32.790663816036215</c:v>
                </c:pt>
                <c:pt idx="43">
                  <c:v>35.167941882261978</c:v>
                </c:pt>
                <c:pt idx="44">
                  <c:v>41.297644286166836</c:v>
                </c:pt>
                <c:pt idx="45">
                  <c:v>43.732184019999359</c:v>
                </c:pt>
                <c:pt idx="46">
                  <c:v>42.572663933640257</c:v>
                </c:pt>
                <c:pt idx="47">
                  <c:v>40.676865392744894</c:v>
                </c:pt>
                <c:pt idx="48">
                  <c:v>44.995743141766361</c:v>
                </c:pt>
                <c:pt idx="49">
                  <c:v>46.908603760214184</c:v>
                </c:pt>
                <c:pt idx="50">
                  <c:v>53.192384829022821</c:v>
                </c:pt>
                <c:pt idx="51">
                  <c:v>66.215157573514318</c:v>
                </c:pt>
                <c:pt idx="52">
                  <c:v>65.738077260513506</c:v>
                </c:pt>
                <c:pt idx="53">
                  <c:v>66.003429951384348</c:v>
                </c:pt>
                <c:pt idx="54">
                  <c:v>77.114015722995092</c:v>
                </c:pt>
                <c:pt idx="55">
                  <c:v>68.389646398442366</c:v>
                </c:pt>
                <c:pt idx="56">
                  <c:v>70.653651935113515</c:v>
                </c:pt>
                <c:pt idx="57">
                  <c:v>70.451269459780022</c:v>
                </c:pt>
                <c:pt idx="58">
                  <c:v>80.984344756306001</c:v>
                </c:pt>
                <c:pt idx="59">
                  <c:v>73.967524882059564</c:v>
                </c:pt>
                <c:pt idx="60">
                  <c:v>63.008732853918936</c:v>
                </c:pt>
                <c:pt idx="61">
                  <c:v>63.739044422052864</c:v>
                </c:pt>
                <c:pt idx="62">
                  <c:v>44.809289042309857</c:v>
                </c:pt>
                <c:pt idx="63">
                  <c:v>34.137170036577125</c:v>
                </c:pt>
                <c:pt idx="64">
                  <c:v>50.816368182050105</c:v>
                </c:pt>
                <c:pt idx="65">
                  <c:v>46.599292715250549</c:v>
                </c:pt>
                <c:pt idx="66">
                  <c:v>63.590444418455753</c:v>
                </c:pt>
                <c:pt idx="67">
                  <c:v>57.643262974257219</c:v>
                </c:pt>
                <c:pt idx="68">
                  <c:v>78.924865215425328</c:v>
                </c:pt>
                <c:pt idx="69">
                  <c:v>101.81535970106536</c:v>
                </c:pt>
                <c:pt idx="70">
                  <c:v>85.021649450271042</c:v>
                </c:pt>
                <c:pt idx="71">
                  <c:v>94.060738691426664</c:v>
                </c:pt>
                <c:pt idx="72">
                  <c:v>84.361553967878763</c:v>
                </c:pt>
                <c:pt idx="73">
                  <c:v>81.532447807681365</c:v>
                </c:pt>
                <c:pt idx="74">
                  <c:v>73.435563049129641</c:v>
                </c:pt>
                <c:pt idx="75">
                  <c:v>137.91827535068964</c:v>
                </c:pt>
                <c:pt idx="76">
                  <c:v>187.30499855730659</c:v>
                </c:pt>
                <c:pt idx="77">
                  <c:v>144.95781109758713</c:v>
                </c:pt>
                <c:pt idx="78">
                  <c:v>151.96719656929383</c:v>
                </c:pt>
                <c:pt idx="79">
                  <c:v>141.85033018748007</c:v>
                </c:pt>
                <c:pt idx="80">
                  <c:v>114.51451536224671</c:v>
                </c:pt>
                <c:pt idx="81">
                  <c:v>149.71481050742608</c:v>
                </c:pt>
                <c:pt idx="82">
                  <c:v>126.30769337140724</c:v>
                </c:pt>
                <c:pt idx="83">
                  <c:v>141.20451133905345</c:v>
                </c:pt>
                <c:pt idx="84">
                  <c:v>181.51234658308681</c:v>
                </c:pt>
                <c:pt idx="85">
                  <c:v>141.4317174976313</c:v>
                </c:pt>
                <c:pt idx="86">
                  <c:v>150.46370964137671</c:v>
                </c:pt>
                <c:pt idx="87">
                  <c:v>152.55481233742103</c:v>
                </c:pt>
                <c:pt idx="88">
                  <c:v>164.07061837761276</c:v>
                </c:pt>
                <c:pt idx="89">
                  <c:v>174.40667401831521</c:v>
                </c:pt>
                <c:pt idx="90">
                  <c:v>162.97252029523253</c:v>
                </c:pt>
                <c:pt idx="91">
                  <c:v>144.29656586662045</c:v>
                </c:pt>
                <c:pt idx="92">
                  <c:v>125.9757747247974</c:v>
                </c:pt>
                <c:pt idx="93">
                  <c:v>137.32838811952263</c:v>
                </c:pt>
                <c:pt idx="94">
                  <c:v>162.98391802904769</c:v>
                </c:pt>
                <c:pt idx="95">
                  <c:v>126.44847378733095</c:v>
                </c:pt>
                <c:pt idx="96">
                  <c:v>97.781896515236227</c:v>
                </c:pt>
                <c:pt idx="97">
                  <c:v>110.88551334347531</c:v>
                </c:pt>
                <c:pt idx="98">
                  <c:v>157.33592231066228</c:v>
                </c:pt>
                <c:pt idx="99">
                  <c:v>134.02884742760222</c:v>
                </c:pt>
                <c:pt idx="100">
                  <c:v>103.76853354405631</c:v>
                </c:pt>
                <c:pt idx="101">
                  <c:v>105.30166045333185</c:v>
                </c:pt>
                <c:pt idx="102">
                  <c:v>114.09831086749134</c:v>
                </c:pt>
                <c:pt idx="103">
                  <c:v>117.12623330142344</c:v>
                </c:pt>
                <c:pt idx="104">
                  <c:v>120.42017395737089</c:v>
                </c:pt>
                <c:pt idx="105">
                  <c:v>126.95634529973621</c:v>
                </c:pt>
                <c:pt idx="106">
                  <c:v>125.92338944551545</c:v>
                </c:pt>
                <c:pt idx="107">
                  <c:v>119.44708535023612</c:v>
                </c:pt>
                <c:pt idx="108">
                  <c:v>116.1935720126212</c:v>
                </c:pt>
                <c:pt idx="109">
                  <c:v>118.70462460082034</c:v>
                </c:pt>
                <c:pt idx="110">
                  <c:v>105.53617740093736</c:v>
                </c:pt>
                <c:pt idx="111">
                  <c:v>122.62268538031415</c:v>
                </c:pt>
                <c:pt idx="112">
                  <c:v>132.69932446259989</c:v>
                </c:pt>
                <c:pt idx="113">
                  <c:v>135.17628212931089</c:v>
                </c:pt>
                <c:pt idx="114">
                  <c:v>131.44763178069712</c:v>
                </c:pt>
                <c:pt idx="115">
                  <c:v>135.46825997620849</c:v>
                </c:pt>
                <c:pt idx="116">
                  <c:v>123.68364780707316</c:v>
                </c:pt>
                <c:pt idx="117">
                  <c:v>113.59060402684564</c:v>
                </c:pt>
                <c:pt idx="118">
                  <c:v>127.54342431761786</c:v>
                </c:pt>
                <c:pt idx="119">
                  <c:v>121.68582375478927</c:v>
                </c:pt>
                <c:pt idx="120">
                  <c:v>120.06734006734007</c:v>
                </c:pt>
                <c:pt idx="121">
                  <c:v>115.73107049608355</c:v>
                </c:pt>
                <c:pt idx="123">
                  <c:v>125.82738481505515</c:v>
                </c:pt>
                <c:pt idx="124">
                  <c:v>125.86307782328848</c:v>
                </c:pt>
                <c:pt idx="125">
                  <c:v>131.08035873374118</c:v>
                </c:pt>
                <c:pt idx="126">
                  <c:v>131.27090301003344</c:v>
                </c:pt>
                <c:pt idx="127">
                  <c:v>137.24675324675326</c:v>
                </c:pt>
                <c:pt idx="128">
                  <c:v>135.83106267029973</c:v>
                </c:pt>
                <c:pt idx="129">
                  <c:v>125.03213367609254</c:v>
                </c:pt>
                <c:pt idx="130">
                  <c:v>143.21440480160052</c:v>
                </c:pt>
              </c:numCache>
            </c:numRef>
          </c:val>
          <c:smooth val="0"/>
          <c:extLst>
            <c:ext xmlns:c16="http://schemas.microsoft.com/office/drawing/2014/chart" uri="{C3380CC4-5D6E-409C-BE32-E72D297353CC}">
              <c16:uniqueId val="{00000000-97BC-48DB-942C-57F41317FD16}"/>
            </c:ext>
          </c:extLst>
        </c:ser>
        <c:dLbls>
          <c:showLegendKey val="0"/>
          <c:showVal val="0"/>
          <c:showCatName val="0"/>
          <c:showSerName val="0"/>
          <c:showPercent val="0"/>
          <c:showBubbleSize val="0"/>
        </c:dLbls>
        <c:smooth val="0"/>
        <c:axId val="241191536"/>
        <c:axId val="241193216"/>
      </c:lineChart>
      <c:catAx>
        <c:axId val="2411915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193216"/>
        <c:crosses val="autoZero"/>
        <c:auto val="1"/>
        <c:lblAlgn val="ctr"/>
        <c:lblOffset val="100"/>
        <c:noMultiLvlLbl val="0"/>
      </c:catAx>
      <c:valAx>
        <c:axId val="241193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1915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solidFill>
                  <a:sysClr val="windowText" lastClr="000000"/>
                </a:solidFill>
              </a:rPr>
              <a:t>Royal Society Publications total income (adjusted to 2010£)</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Income!$A$77:$A$117</c:f>
              <c:numCache>
                <c:formatCode>General</c:formatCode>
                <c:ptCount val="41"/>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numCache>
            </c:numRef>
          </c:cat>
          <c:val>
            <c:numRef>
              <c:f>Income!$BJ$77:$BJ$117</c:f>
              <c:numCache>
                <c:formatCode>_-* #,##0_-;\-* #,##0_-;_-* "-"??_-;_-@_-</c:formatCode>
                <c:ptCount val="41"/>
                <c:pt idx="0">
                  <c:v>1231556.7662505968</c:v>
                </c:pt>
                <c:pt idx="1">
                  <c:v>1062014.3890727405</c:v>
                </c:pt>
                <c:pt idx="2">
                  <c:v>998523.33270653128</c:v>
                </c:pt>
                <c:pt idx="3">
                  <c:v>1178621.8415937803</c:v>
                </c:pt>
                <c:pt idx="4">
                  <c:v>1050448.648158229</c:v>
                </c:pt>
                <c:pt idx="5">
                  <c:v>1264840.9812021074</c:v>
                </c:pt>
                <c:pt idx="6">
                  <c:v>1266275.607638889</c:v>
                </c:pt>
                <c:pt idx="7">
                  <c:v>1266500.8319467553</c:v>
                </c:pt>
                <c:pt idx="8">
                  <c:v>1308235.4102019707</c:v>
                </c:pt>
                <c:pt idx="9">
                  <c:v>1958795.6377430062</c:v>
                </c:pt>
                <c:pt idx="10">
                  <c:v>1668091.2111144669</c:v>
                </c:pt>
                <c:pt idx="11">
                  <c:v>2088949.7675432223</c:v>
                </c:pt>
                <c:pt idx="12">
                  <c:v>2092143.261608154</c:v>
                </c:pt>
                <c:pt idx="13">
                  <c:v>1883824.7892150229</c:v>
                </c:pt>
                <c:pt idx="14">
                  <c:v>2334788.1899871631</c:v>
                </c:pt>
                <c:pt idx="15">
                  <c:v>2453396.0670768493</c:v>
                </c:pt>
                <c:pt idx="16">
                  <c:v>2753819.8655054569</c:v>
                </c:pt>
                <c:pt idx="17">
                  <c:v>2089061.5352953281</c:v>
                </c:pt>
                <c:pt idx="18">
                  <c:v>1732239.200150915</c:v>
                </c:pt>
                <c:pt idx="19">
                  <c:v>2236064.3745427942</c:v>
                </c:pt>
                <c:pt idx="20">
                  <c:v>2157598.9532221132</c:v>
                </c:pt>
                <c:pt idx="21">
                  <c:v>2464017.0652295947</c:v>
                </c:pt>
                <c:pt idx="22">
                  <c:v>2776256.2387943985</c:v>
                </c:pt>
                <c:pt idx="23">
                  <c:v>2813468.1641236744</c:v>
                </c:pt>
                <c:pt idx="24">
                  <c:v>2036061.2397900801</c:v>
                </c:pt>
                <c:pt idx="25">
                  <c:v>2535440.2862780509</c:v>
                </c:pt>
                <c:pt idx="26">
                  <c:v>2526582.4041134794</c:v>
                </c:pt>
                <c:pt idx="27">
                  <c:v>2564465.6078830748</c:v>
                </c:pt>
                <c:pt idx="28">
                  <c:v>2563066.47718301</c:v>
                </c:pt>
                <c:pt idx="29">
                  <c:v>2368722.2681807927</c:v>
                </c:pt>
                <c:pt idx="30">
                  <c:v>2395250.2481213668</c:v>
                </c:pt>
                <c:pt idx="31">
                  <c:v>2361511.0379816261</c:v>
                </c:pt>
                <c:pt idx="32">
                  <c:v>2351073.8652567845</c:v>
                </c:pt>
                <c:pt idx="33">
                  <c:v>2422029.822029822</c:v>
                </c:pt>
                <c:pt idx="34">
                  <c:v>2231612.8531511952</c:v>
                </c:pt>
                <c:pt idx="35">
                  <c:v>2337931.6457491312</c:v>
                </c:pt>
                <c:pt idx="36">
                  <c:v>1169135.8438122666</c:v>
                </c:pt>
                <c:pt idx="37">
                  <c:v>2145483.1576738707</c:v>
                </c:pt>
                <c:pt idx="38">
                  <c:v>2205344.4331469238</c:v>
                </c:pt>
                <c:pt idx="39">
                  <c:v>2077287.7464592094</c:v>
                </c:pt>
                <c:pt idx="40">
                  <c:v>2028410.5731891987</c:v>
                </c:pt>
              </c:numCache>
            </c:numRef>
          </c:val>
          <c:extLst>
            <c:ext xmlns:c16="http://schemas.microsoft.com/office/drawing/2014/chart" uri="{C3380CC4-5D6E-409C-BE32-E72D297353CC}">
              <c16:uniqueId val="{00000000-76BB-4243-9C6F-EFC66C331F4C}"/>
            </c:ext>
          </c:extLst>
        </c:ser>
        <c:dLbls>
          <c:showLegendKey val="0"/>
          <c:showVal val="0"/>
          <c:showCatName val="0"/>
          <c:showSerName val="0"/>
          <c:showPercent val="0"/>
          <c:showBubbleSize val="0"/>
        </c:dLbls>
        <c:gapWidth val="219"/>
        <c:overlap val="-27"/>
        <c:axId val="241438912"/>
        <c:axId val="241436672"/>
      </c:barChart>
      <c:catAx>
        <c:axId val="24143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436672"/>
        <c:crosses val="autoZero"/>
        <c:auto val="1"/>
        <c:lblAlgn val="ctr"/>
        <c:lblOffset val="100"/>
        <c:noMultiLvlLbl val="0"/>
      </c:catAx>
      <c:valAx>
        <c:axId val="24143667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438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solidFill>
                  <a:sysClr val="windowText" lastClr="000000"/>
                </a:solidFill>
              </a:rPr>
              <a:t>Costs for Philosophical</a:t>
            </a:r>
            <a:r>
              <a:rPr lang="en-GB" b="1" baseline="0">
                <a:solidFill>
                  <a:sysClr val="windowText" lastClr="000000"/>
                </a:solidFill>
              </a:rPr>
              <a:t> </a:t>
            </a:r>
            <a:r>
              <a:rPr lang="en-GB" b="1">
                <a:solidFill>
                  <a:sysClr val="windowText" lastClr="000000"/>
                </a:solidFill>
              </a:rPr>
              <a:t>Transactions, 1920-1963</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Expenditure!$E$2</c:f>
              <c:strCache>
                <c:ptCount val="1"/>
                <c:pt idx="0">
                  <c:v> Printing </c:v>
                </c:pt>
              </c:strCache>
            </c:strRef>
          </c:tx>
          <c:spPr>
            <a:solidFill>
              <a:schemeClr val="accent1"/>
            </a:solidFill>
            <a:ln>
              <a:noFill/>
            </a:ln>
            <a:effectLst/>
          </c:spPr>
          <c:invertIfNegative val="0"/>
          <c:cat>
            <c:numRef>
              <c:f>Expenditure!$A$43:$A$86</c:f>
              <c:numCache>
                <c:formatCode>General</c:formatCode>
                <c:ptCount val="44"/>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numCache>
            </c:numRef>
          </c:cat>
          <c:val>
            <c:numRef>
              <c:f>Expenditure!$E$43:$E$86</c:f>
              <c:numCache>
                <c:formatCode>_-* #,##0_-;\-* #,##0_-;_-* "-"??_-;_-@_-</c:formatCode>
                <c:ptCount val="44"/>
                <c:pt idx="0">
                  <c:v>339968</c:v>
                </c:pt>
                <c:pt idx="1">
                  <c:v>245608</c:v>
                </c:pt>
                <c:pt idx="2">
                  <c:v>228338</c:v>
                </c:pt>
                <c:pt idx="3">
                  <c:v>151411</c:v>
                </c:pt>
                <c:pt idx="4">
                  <c:v>218737</c:v>
                </c:pt>
                <c:pt idx="5">
                  <c:v>205659</c:v>
                </c:pt>
                <c:pt idx="6">
                  <c:v>335080</c:v>
                </c:pt>
                <c:pt idx="7">
                  <c:v>246139</c:v>
                </c:pt>
                <c:pt idx="8">
                  <c:v>300169</c:v>
                </c:pt>
                <c:pt idx="9">
                  <c:v>277187</c:v>
                </c:pt>
                <c:pt idx="10">
                  <c:v>318739</c:v>
                </c:pt>
                <c:pt idx="11">
                  <c:v>346491</c:v>
                </c:pt>
                <c:pt idx="12">
                  <c:v>214177</c:v>
                </c:pt>
                <c:pt idx="13">
                  <c:v>336519</c:v>
                </c:pt>
                <c:pt idx="14">
                  <c:v>439056</c:v>
                </c:pt>
                <c:pt idx="15">
                  <c:v>476844</c:v>
                </c:pt>
                <c:pt idx="16">
                  <c:v>313301</c:v>
                </c:pt>
                <c:pt idx="17">
                  <c:v>283695</c:v>
                </c:pt>
                <c:pt idx="18">
                  <c:v>227492</c:v>
                </c:pt>
                <c:pt idx="19">
                  <c:v>400901</c:v>
                </c:pt>
                <c:pt idx="20">
                  <c:v>187904</c:v>
                </c:pt>
                <c:pt idx="21">
                  <c:v>146843</c:v>
                </c:pt>
                <c:pt idx="22">
                  <c:v>185214</c:v>
                </c:pt>
                <c:pt idx="23">
                  <c:v>84320</c:v>
                </c:pt>
                <c:pt idx="24">
                  <c:v>90540</c:v>
                </c:pt>
                <c:pt idx="25">
                  <c:v>85641</c:v>
                </c:pt>
                <c:pt idx="26">
                  <c:v>197897</c:v>
                </c:pt>
                <c:pt idx="27">
                  <c:v>213508</c:v>
                </c:pt>
                <c:pt idx="28">
                  <c:v>883369</c:v>
                </c:pt>
                <c:pt idx="29">
                  <c:v>570573</c:v>
                </c:pt>
                <c:pt idx="30">
                  <c:v>528316</c:v>
                </c:pt>
                <c:pt idx="31">
                  <c:v>1092876</c:v>
                </c:pt>
                <c:pt idx="32">
                  <c:v>1161341</c:v>
                </c:pt>
                <c:pt idx="33">
                  <c:v>984911</c:v>
                </c:pt>
                <c:pt idx="34">
                  <c:v>238220</c:v>
                </c:pt>
                <c:pt idx="35">
                  <c:v>1847153</c:v>
                </c:pt>
                <c:pt idx="36">
                  <c:v>1024831</c:v>
                </c:pt>
                <c:pt idx="37">
                  <c:v>1553673</c:v>
                </c:pt>
                <c:pt idx="38">
                  <c:v>989780</c:v>
                </c:pt>
                <c:pt idx="39">
                  <c:v>1198345</c:v>
                </c:pt>
                <c:pt idx="40">
                  <c:v>1321076</c:v>
                </c:pt>
                <c:pt idx="41">
                  <c:v>1339085</c:v>
                </c:pt>
                <c:pt idx="42">
                  <c:v>1567669</c:v>
                </c:pt>
                <c:pt idx="43">
                  <c:v>1804380</c:v>
                </c:pt>
              </c:numCache>
            </c:numRef>
          </c:val>
          <c:extLst>
            <c:ext xmlns:c16="http://schemas.microsoft.com/office/drawing/2014/chart" uri="{C3380CC4-5D6E-409C-BE32-E72D297353CC}">
              <c16:uniqueId val="{00000000-3157-490B-B5FE-B7ACD3858EAB}"/>
            </c:ext>
          </c:extLst>
        </c:ser>
        <c:ser>
          <c:idx val="1"/>
          <c:order val="1"/>
          <c:tx>
            <c:strRef>
              <c:f>Expenditure!$I$2</c:f>
              <c:strCache>
                <c:ptCount val="1"/>
                <c:pt idx="0">
                  <c:v> Paper </c:v>
                </c:pt>
              </c:strCache>
            </c:strRef>
          </c:tx>
          <c:spPr>
            <a:solidFill>
              <a:schemeClr val="accent2"/>
            </a:solidFill>
            <a:ln>
              <a:noFill/>
            </a:ln>
            <a:effectLst/>
          </c:spPr>
          <c:invertIfNegative val="0"/>
          <c:cat>
            <c:numRef>
              <c:f>Expenditure!$A$43:$A$86</c:f>
              <c:numCache>
                <c:formatCode>General</c:formatCode>
                <c:ptCount val="44"/>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numCache>
            </c:numRef>
          </c:cat>
          <c:val>
            <c:numRef>
              <c:f>Expenditure!$I$43:$I$86</c:f>
              <c:numCache>
                <c:formatCode>_-* #,##0_-;\-* #,##0_-;_-* "-"??_-;_-@_-</c:formatCode>
                <c:ptCount val="44"/>
                <c:pt idx="0">
                  <c:v>130707</c:v>
                </c:pt>
                <c:pt idx="1">
                  <c:v>60750</c:v>
                </c:pt>
                <c:pt idx="2">
                  <c:v>48600</c:v>
                </c:pt>
                <c:pt idx="3">
                  <c:v>27000</c:v>
                </c:pt>
                <c:pt idx="4">
                  <c:v>40500</c:v>
                </c:pt>
                <c:pt idx="5">
                  <c:v>40500</c:v>
                </c:pt>
                <c:pt idx="6">
                  <c:v>52650</c:v>
                </c:pt>
                <c:pt idx="7">
                  <c:v>38475</c:v>
                </c:pt>
                <c:pt idx="8">
                  <c:v>51300</c:v>
                </c:pt>
                <c:pt idx="9">
                  <c:v>36000</c:v>
                </c:pt>
                <c:pt idx="10">
                  <c:v>48000</c:v>
                </c:pt>
                <c:pt idx="11">
                  <c:v>47304</c:v>
                </c:pt>
                <c:pt idx="12">
                  <c:v>35100</c:v>
                </c:pt>
                <c:pt idx="13">
                  <c:v>58500</c:v>
                </c:pt>
                <c:pt idx="14">
                  <c:v>84701</c:v>
                </c:pt>
                <c:pt idx="15">
                  <c:v>88810</c:v>
                </c:pt>
                <c:pt idx="16">
                  <c:v>75302</c:v>
                </c:pt>
                <c:pt idx="17">
                  <c:v>76307</c:v>
                </c:pt>
                <c:pt idx="18">
                  <c:v>49550</c:v>
                </c:pt>
                <c:pt idx="19">
                  <c:v>46571</c:v>
                </c:pt>
                <c:pt idx="20">
                  <c:v>71818</c:v>
                </c:pt>
                <c:pt idx="21" formatCode="_(* #,##0.00_);_(* \(#,##0.00\);_(* &quot;-&quot;??_);_(@_)">
                  <c:v>0</c:v>
                </c:pt>
                <c:pt idx="22" formatCode="_(* #,##0.00_);_(* \(#,##0.00\);_(* &quot;-&quot;??_);_(@_)">
                  <c:v>8860</c:v>
                </c:pt>
                <c:pt idx="23" formatCode="_(* #,##0.00_);_(* \(#,##0.00\);_(* &quot;-&quot;??_);_(@_)">
                  <c:v>0</c:v>
                </c:pt>
                <c:pt idx="24">
                  <c:v>0</c:v>
                </c:pt>
                <c:pt idx="25">
                  <c:v>0</c:v>
                </c:pt>
                <c:pt idx="26">
                  <c:v>0</c:v>
                </c:pt>
                <c:pt idx="27">
                  <c:v>41632</c:v>
                </c:pt>
                <c:pt idx="28">
                  <c:v>86650</c:v>
                </c:pt>
                <c:pt idx="29">
                  <c:v>87309</c:v>
                </c:pt>
                <c:pt idx="30">
                  <c:v>100367</c:v>
                </c:pt>
                <c:pt idx="31">
                  <c:v>110852</c:v>
                </c:pt>
                <c:pt idx="32">
                  <c:v>327417</c:v>
                </c:pt>
                <c:pt idx="33">
                  <c:v>180792</c:v>
                </c:pt>
                <c:pt idx="34">
                  <c:v>207161</c:v>
                </c:pt>
                <c:pt idx="35">
                  <c:v>237758</c:v>
                </c:pt>
                <c:pt idx="36">
                  <c:v>227583</c:v>
                </c:pt>
                <c:pt idx="37">
                  <c:v>260299</c:v>
                </c:pt>
                <c:pt idx="38">
                  <c:v>196027</c:v>
                </c:pt>
                <c:pt idx="39">
                  <c:v>224244</c:v>
                </c:pt>
                <c:pt idx="40">
                  <c:v>246394</c:v>
                </c:pt>
                <c:pt idx="41">
                  <c:v>219701</c:v>
                </c:pt>
                <c:pt idx="42">
                  <c:v>300902</c:v>
                </c:pt>
                <c:pt idx="43">
                  <c:v>315693</c:v>
                </c:pt>
              </c:numCache>
            </c:numRef>
          </c:val>
          <c:extLst>
            <c:ext xmlns:c16="http://schemas.microsoft.com/office/drawing/2014/chart" uri="{C3380CC4-5D6E-409C-BE32-E72D297353CC}">
              <c16:uniqueId val="{00000001-3157-490B-B5FE-B7ACD3858EAB}"/>
            </c:ext>
          </c:extLst>
        </c:ser>
        <c:ser>
          <c:idx val="2"/>
          <c:order val="2"/>
          <c:tx>
            <c:strRef>
              <c:f>Expenditure!$M$2</c:f>
              <c:strCache>
                <c:ptCount val="1"/>
                <c:pt idx="0">
                  <c:v> Engraving </c:v>
                </c:pt>
              </c:strCache>
            </c:strRef>
          </c:tx>
          <c:spPr>
            <a:solidFill>
              <a:schemeClr val="accent3"/>
            </a:solidFill>
            <a:ln>
              <a:noFill/>
            </a:ln>
            <a:effectLst/>
          </c:spPr>
          <c:invertIfNegative val="0"/>
          <c:cat>
            <c:numRef>
              <c:f>Expenditure!$A$43:$A$86</c:f>
              <c:numCache>
                <c:formatCode>General</c:formatCode>
                <c:ptCount val="44"/>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numCache>
            </c:numRef>
          </c:cat>
          <c:val>
            <c:numRef>
              <c:f>Expenditure!$M$43:$M$86</c:f>
              <c:numCache>
                <c:formatCode>_(* #,##0.00_);_(* \(#,##0.00\);_(* "-"??_);_(@_)</c:formatCode>
                <c:ptCount val="44"/>
                <c:pt idx="0">
                  <c:v>170926</c:v>
                </c:pt>
                <c:pt idx="1">
                  <c:v>110107</c:v>
                </c:pt>
                <c:pt idx="2">
                  <c:v>61948</c:v>
                </c:pt>
                <c:pt idx="3">
                  <c:v>49672</c:v>
                </c:pt>
                <c:pt idx="4">
                  <c:v>122009</c:v>
                </c:pt>
                <c:pt idx="5">
                  <c:v>51143</c:v>
                </c:pt>
                <c:pt idx="6">
                  <c:v>125439</c:v>
                </c:pt>
                <c:pt idx="7">
                  <c:v>131935</c:v>
                </c:pt>
                <c:pt idx="8">
                  <c:v>128181</c:v>
                </c:pt>
                <c:pt idx="9">
                  <c:v>78263</c:v>
                </c:pt>
                <c:pt idx="10">
                  <c:v>131417</c:v>
                </c:pt>
                <c:pt idx="11">
                  <c:v>70311</c:v>
                </c:pt>
                <c:pt idx="12">
                  <c:v>141692</c:v>
                </c:pt>
                <c:pt idx="13">
                  <c:v>113500</c:v>
                </c:pt>
                <c:pt idx="14">
                  <c:v>133420</c:v>
                </c:pt>
                <c:pt idx="15">
                  <c:v>116552</c:v>
                </c:pt>
                <c:pt idx="16">
                  <c:v>133280</c:v>
                </c:pt>
                <c:pt idx="17">
                  <c:v>132666</c:v>
                </c:pt>
                <c:pt idx="18">
                  <c:v>86549</c:v>
                </c:pt>
                <c:pt idx="19">
                  <c:v>83420</c:v>
                </c:pt>
                <c:pt idx="20" formatCode="_-* #,##0_-;\-* #,##0_-;_-* &quot;-&quot;??_-;_-@_-">
                  <c:v>45665</c:v>
                </c:pt>
                <c:pt idx="21">
                  <c:v>61551</c:v>
                </c:pt>
                <c:pt idx="22">
                  <c:v>26829</c:v>
                </c:pt>
                <c:pt idx="23">
                  <c:v>11518</c:v>
                </c:pt>
                <c:pt idx="24">
                  <c:v>7670</c:v>
                </c:pt>
                <c:pt idx="25">
                  <c:v>9202</c:v>
                </c:pt>
                <c:pt idx="26">
                  <c:v>18376</c:v>
                </c:pt>
                <c:pt idx="27">
                  <c:v>135273</c:v>
                </c:pt>
                <c:pt idx="28">
                  <c:v>112046</c:v>
                </c:pt>
                <c:pt idx="29">
                  <c:v>77122</c:v>
                </c:pt>
                <c:pt idx="30">
                  <c:v>243129</c:v>
                </c:pt>
                <c:pt idx="31">
                  <c:v>127619</c:v>
                </c:pt>
                <c:pt idx="32">
                  <c:v>209469</c:v>
                </c:pt>
                <c:pt idx="33">
                  <c:v>91152</c:v>
                </c:pt>
                <c:pt idx="34">
                  <c:v>185105</c:v>
                </c:pt>
                <c:pt idx="35">
                  <c:v>211293</c:v>
                </c:pt>
                <c:pt idx="36">
                  <c:v>175515</c:v>
                </c:pt>
                <c:pt idx="37">
                  <c:v>269854</c:v>
                </c:pt>
                <c:pt idx="38" formatCode="_-* #,##0_-;\-* #,##0_-;_-* &quot;-&quot;??_-;_-@_-">
                  <c:v>223744</c:v>
                </c:pt>
                <c:pt idx="39" formatCode="_-* #,##0_-;\-* #,##0_-;_-* &quot;-&quot;??_-;_-@_-">
                  <c:v>200423</c:v>
                </c:pt>
                <c:pt idx="40" formatCode="_-* #,##0_-;\-* #,##0_-;_-* &quot;-&quot;??_-;_-@_-">
                  <c:v>228703</c:v>
                </c:pt>
                <c:pt idx="41" formatCode="_-* #,##0_-;\-* #,##0_-;_-* &quot;-&quot;??_-;_-@_-">
                  <c:v>286989</c:v>
                </c:pt>
                <c:pt idx="42" formatCode="_-* #,##0_-;\-* #,##0_-;_-* &quot;-&quot;??_-;_-@_-">
                  <c:v>445856</c:v>
                </c:pt>
                <c:pt idx="43" formatCode="_-* #,##0_-;\-* #,##0_-;_-* &quot;-&quot;??_-;_-@_-">
                  <c:v>487505</c:v>
                </c:pt>
              </c:numCache>
            </c:numRef>
          </c:val>
          <c:extLst>
            <c:ext xmlns:c16="http://schemas.microsoft.com/office/drawing/2014/chart" uri="{C3380CC4-5D6E-409C-BE32-E72D297353CC}">
              <c16:uniqueId val="{00000002-3157-490B-B5FE-B7ACD3858EAB}"/>
            </c:ext>
          </c:extLst>
        </c:ser>
        <c:dLbls>
          <c:showLegendKey val="0"/>
          <c:showVal val="0"/>
          <c:showCatName val="0"/>
          <c:showSerName val="0"/>
          <c:showPercent val="0"/>
          <c:showBubbleSize val="0"/>
        </c:dLbls>
        <c:gapWidth val="219"/>
        <c:overlap val="-27"/>
        <c:axId val="5550192"/>
        <c:axId val="5550752"/>
      </c:barChart>
      <c:catAx>
        <c:axId val="55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50752"/>
        <c:crosses val="autoZero"/>
        <c:auto val="1"/>
        <c:lblAlgn val="ctr"/>
        <c:lblOffset val="100"/>
        <c:noMultiLvlLbl val="0"/>
      </c:catAx>
      <c:valAx>
        <c:axId val="555075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50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solidFill>
                  <a:sysClr val="windowText" lastClr="000000"/>
                </a:solidFill>
              </a:rPr>
              <a:t>Costs for Proceedings, 1920-1963</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Expenditure!$Z$2</c:f>
              <c:strCache>
                <c:ptCount val="1"/>
                <c:pt idx="0">
                  <c:v> Printing </c:v>
                </c:pt>
              </c:strCache>
            </c:strRef>
          </c:tx>
          <c:spPr>
            <a:solidFill>
              <a:schemeClr val="accent1"/>
            </a:solidFill>
            <a:ln>
              <a:noFill/>
            </a:ln>
            <a:effectLst/>
          </c:spPr>
          <c:invertIfNegative val="0"/>
          <c:cat>
            <c:numRef>
              <c:f>Expenditure!$A$43:$A$86</c:f>
              <c:numCache>
                <c:formatCode>General</c:formatCode>
                <c:ptCount val="44"/>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numCache>
            </c:numRef>
          </c:cat>
          <c:val>
            <c:numRef>
              <c:f>Expenditure!$Z$43:$Z$86</c:f>
              <c:numCache>
                <c:formatCode>_-* #,##0_-;\-* #,##0_-;_-* "-"??_-;_-@_-</c:formatCode>
                <c:ptCount val="44"/>
                <c:pt idx="0">
                  <c:v>410503</c:v>
                </c:pt>
                <c:pt idx="1">
                  <c:v>450439</c:v>
                </c:pt>
                <c:pt idx="2">
                  <c:v>616642</c:v>
                </c:pt>
                <c:pt idx="3">
                  <c:v>750252</c:v>
                </c:pt>
                <c:pt idx="4">
                  <c:v>696996</c:v>
                </c:pt>
                <c:pt idx="5">
                  <c:v>1029607</c:v>
                </c:pt>
                <c:pt idx="6">
                  <c:v>987716</c:v>
                </c:pt>
                <c:pt idx="7">
                  <c:v>1127438</c:v>
                </c:pt>
                <c:pt idx="8">
                  <c:v>1145856</c:v>
                </c:pt>
                <c:pt idx="9">
                  <c:v>1464974</c:v>
                </c:pt>
                <c:pt idx="10">
                  <c:v>1104027</c:v>
                </c:pt>
                <c:pt idx="11">
                  <c:v>1239769</c:v>
                </c:pt>
                <c:pt idx="12">
                  <c:v>1246985</c:v>
                </c:pt>
                <c:pt idx="13">
                  <c:v>1255427</c:v>
                </c:pt>
                <c:pt idx="14">
                  <c:v>1110014</c:v>
                </c:pt>
                <c:pt idx="15">
                  <c:v>1344521</c:v>
                </c:pt>
                <c:pt idx="16">
                  <c:v>1264040</c:v>
                </c:pt>
                <c:pt idx="17">
                  <c:v>1180185</c:v>
                </c:pt>
                <c:pt idx="18">
                  <c:v>1153086</c:v>
                </c:pt>
                <c:pt idx="19">
                  <c:v>750011</c:v>
                </c:pt>
                <c:pt idx="20">
                  <c:v>788903</c:v>
                </c:pt>
                <c:pt idx="21">
                  <c:v>585774</c:v>
                </c:pt>
                <c:pt idx="22">
                  <c:v>476274</c:v>
                </c:pt>
                <c:pt idx="23">
                  <c:v>202359</c:v>
                </c:pt>
                <c:pt idx="24">
                  <c:v>318271</c:v>
                </c:pt>
                <c:pt idx="25">
                  <c:v>374582</c:v>
                </c:pt>
                <c:pt idx="26">
                  <c:v>656583</c:v>
                </c:pt>
                <c:pt idx="27">
                  <c:v>1153667</c:v>
                </c:pt>
                <c:pt idx="28">
                  <c:v>1379408</c:v>
                </c:pt>
                <c:pt idx="29">
                  <c:v>1654910</c:v>
                </c:pt>
                <c:pt idx="30">
                  <c:v>1771489</c:v>
                </c:pt>
                <c:pt idx="31">
                  <c:v>2328954</c:v>
                </c:pt>
                <c:pt idx="32">
                  <c:v>3488446</c:v>
                </c:pt>
                <c:pt idx="33">
                  <c:v>3034146</c:v>
                </c:pt>
                <c:pt idx="34">
                  <c:v>2342099</c:v>
                </c:pt>
                <c:pt idx="35">
                  <c:v>3880634</c:v>
                </c:pt>
                <c:pt idx="36">
                  <c:v>2983977</c:v>
                </c:pt>
                <c:pt idx="37">
                  <c:v>3494229</c:v>
                </c:pt>
                <c:pt idx="38">
                  <c:v>4440536</c:v>
                </c:pt>
                <c:pt idx="39">
                  <c:v>4332858</c:v>
                </c:pt>
                <c:pt idx="40">
                  <c:v>5150829</c:v>
                </c:pt>
                <c:pt idx="41">
                  <c:v>4344310</c:v>
                </c:pt>
                <c:pt idx="42">
                  <c:v>5625484</c:v>
                </c:pt>
                <c:pt idx="43">
                  <c:v>5634866</c:v>
                </c:pt>
              </c:numCache>
            </c:numRef>
          </c:val>
          <c:extLst>
            <c:ext xmlns:c16="http://schemas.microsoft.com/office/drawing/2014/chart" uri="{C3380CC4-5D6E-409C-BE32-E72D297353CC}">
              <c16:uniqueId val="{00000000-A360-4EF5-B37F-456A19A6CCC2}"/>
            </c:ext>
          </c:extLst>
        </c:ser>
        <c:ser>
          <c:idx val="1"/>
          <c:order val="1"/>
          <c:tx>
            <c:strRef>
              <c:f>Expenditure!$AD$2</c:f>
              <c:strCache>
                <c:ptCount val="1"/>
                <c:pt idx="0">
                  <c:v> Paper </c:v>
                </c:pt>
              </c:strCache>
            </c:strRef>
          </c:tx>
          <c:spPr>
            <a:solidFill>
              <a:schemeClr val="accent2"/>
            </a:solidFill>
            <a:ln>
              <a:noFill/>
            </a:ln>
            <a:effectLst/>
          </c:spPr>
          <c:invertIfNegative val="0"/>
          <c:cat>
            <c:numRef>
              <c:f>Expenditure!$A$43:$A$86</c:f>
              <c:numCache>
                <c:formatCode>General</c:formatCode>
                <c:ptCount val="44"/>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numCache>
            </c:numRef>
          </c:cat>
          <c:val>
            <c:numRef>
              <c:f>Expenditure!$AD$43:$AD$86</c:f>
              <c:numCache>
                <c:formatCode>_-* #,##0_-;\-* #,##0_-;_-* "-"??_-;_-@_-</c:formatCode>
                <c:ptCount val="44"/>
                <c:pt idx="0">
                  <c:v>130774</c:v>
                </c:pt>
                <c:pt idx="1">
                  <c:v>98000</c:v>
                </c:pt>
                <c:pt idx="2">
                  <c:v>140000</c:v>
                </c:pt>
                <c:pt idx="3">
                  <c:v>122500</c:v>
                </c:pt>
                <c:pt idx="4">
                  <c:v>122500</c:v>
                </c:pt>
                <c:pt idx="5">
                  <c:v>175000</c:v>
                </c:pt>
                <c:pt idx="6">
                  <c:v>219625</c:v>
                </c:pt>
                <c:pt idx="7">
                  <c:v>199500</c:v>
                </c:pt>
                <c:pt idx="8">
                  <c:v>232750</c:v>
                </c:pt>
                <c:pt idx="9">
                  <c:v>243250</c:v>
                </c:pt>
                <c:pt idx="10">
                  <c:v>210000</c:v>
                </c:pt>
                <c:pt idx="11">
                  <c:v>234600</c:v>
                </c:pt>
                <c:pt idx="12">
                  <c:v>232800</c:v>
                </c:pt>
                <c:pt idx="13">
                  <c:v>232800</c:v>
                </c:pt>
                <c:pt idx="14">
                  <c:v>239994</c:v>
                </c:pt>
                <c:pt idx="15">
                  <c:v>301887</c:v>
                </c:pt>
                <c:pt idx="16">
                  <c:v>298173</c:v>
                </c:pt>
                <c:pt idx="17">
                  <c:v>329567</c:v>
                </c:pt>
                <c:pt idx="18">
                  <c:v>253600</c:v>
                </c:pt>
                <c:pt idx="19">
                  <c:v>190200</c:v>
                </c:pt>
                <c:pt idx="20">
                  <c:v>205061</c:v>
                </c:pt>
                <c:pt idx="21">
                  <c:v>47239</c:v>
                </c:pt>
                <c:pt idx="22">
                  <c:v>156433</c:v>
                </c:pt>
                <c:pt idx="23">
                  <c:v>119774</c:v>
                </c:pt>
                <c:pt idx="24">
                  <c:v>91159</c:v>
                </c:pt>
                <c:pt idx="25">
                  <c:v>120896</c:v>
                </c:pt>
                <c:pt idx="26">
                  <c:v>99505</c:v>
                </c:pt>
                <c:pt idx="27">
                  <c:v>225709</c:v>
                </c:pt>
                <c:pt idx="28">
                  <c:v>125333</c:v>
                </c:pt>
                <c:pt idx="29">
                  <c:v>351301</c:v>
                </c:pt>
                <c:pt idx="30">
                  <c:v>361048</c:v>
                </c:pt>
                <c:pt idx="31">
                  <c:v>621466</c:v>
                </c:pt>
                <c:pt idx="32">
                  <c:v>1041889</c:v>
                </c:pt>
                <c:pt idx="33">
                  <c:v>1105268</c:v>
                </c:pt>
                <c:pt idx="34">
                  <c:v>962932</c:v>
                </c:pt>
                <c:pt idx="35">
                  <c:v>676905</c:v>
                </c:pt>
                <c:pt idx="36">
                  <c:v>954122</c:v>
                </c:pt>
                <c:pt idx="37">
                  <c:v>995494</c:v>
                </c:pt>
                <c:pt idx="38">
                  <c:v>1197224</c:v>
                </c:pt>
                <c:pt idx="39">
                  <c:v>970488</c:v>
                </c:pt>
                <c:pt idx="40">
                  <c:v>1094779</c:v>
                </c:pt>
                <c:pt idx="41">
                  <c:v>1405148</c:v>
                </c:pt>
                <c:pt idx="42">
                  <c:v>1408048</c:v>
                </c:pt>
                <c:pt idx="43">
                  <c:v>1330721</c:v>
                </c:pt>
              </c:numCache>
            </c:numRef>
          </c:val>
          <c:extLst>
            <c:ext xmlns:c16="http://schemas.microsoft.com/office/drawing/2014/chart" uri="{C3380CC4-5D6E-409C-BE32-E72D297353CC}">
              <c16:uniqueId val="{00000001-A360-4EF5-B37F-456A19A6CCC2}"/>
            </c:ext>
          </c:extLst>
        </c:ser>
        <c:ser>
          <c:idx val="2"/>
          <c:order val="2"/>
          <c:tx>
            <c:strRef>
              <c:f>Expenditure!$AH$2</c:f>
              <c:strCache>
                <c:ptCount val="1"/>
                <c:pt idx="0">
                  <c:v> Engraving </c:v>
                </c:pt>
              </c:strCache>
            </c:strRef>
          </c:tx>
          <c:spPr>
            <a:solidFill>
              <a:schemeClr val="accent3"/>
            </a:solidFill>
            <a:ln>
              <a:noFill/>
            </a:ln>
            <a:effectLst/>
          </c:spPr>
          <c:invertIfNegative val="0"/>
          <c:cat>
            <c:numRef>
              <c:f>Expenditure!$A$43:$A$86</c:f>
              <c:numCache>
                <c:formatCode>General</c:formatCode>
                <c:ptCount val="44"/>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numCache>
            </c:numRef>
          </c:cat>
          <c:val>
            <c:numRef>
              <c:f>Expenditure!$AH$43:$AH$86</c:f>
              <c:numCache>
                <c:formatCode>_-* #,##0_-;\-* #,##0_-;_-* "-"??_-;_-@_-</c:formatCode>
                <c:ptCount val="44"/>
                <c:pt idx="0">
                  <c:v>89176</c:v>
                </c:pt>
                <c:pt idx="1">
                  <c:v>116712</c:v>
                </c:pt>
                <c:pt idx="2">
                  <c:v>106018</c:v>
                </c:pt>
                <c:pt idx="3">
                  <c:v>175441</c:v>
                </c:pt>
                <c:pt idx="4">
                  <c:v>169918</c:v>
                </c:pt>
                <c:pt idx="5">
                  <c:v>219666</c:v>
                </c:pt>
                <c:pt idx="6">
                  <c:v>207530</c:v>
                </c:pt>
                <c:pt idx="7">
                  <c:v>239457</c:v>
                </c:pt>
                <c:pt idx="8">
                  <c:v>230594</c:v>
                </c:pt>
                <c:pt idx="9">
                  <c:v>214584</c:v>
                </c:pt>
                <c:pt idx="10">
                  <c:v>269016</c:v>
                </c:pt>
                <c:pt idx="11">
                  <c:v>250274</c:v>
                </c:pt>
                <c:pt idx="12">
                  <c:v>221424</c:v>
                </c:pt>
                <c:pt idx="13">
                  <c:v>220078</c:v>
                </c:pt>
                <c:pt idx="14">
                  <c:v>241731</c:v>
                </c:pt>
                <c:pt idx="15">
                  <c:v>255975</c:v>
                </c:pt>
                <c:pt idx="16">
                  <c:v>258274</c:v>
                </c:pt>
                <c:pt idx="17">
                  <c:v>273389</c:v>
                </c:pt>
                <c:pt idx="18">
                  <c:v>248393</c:v>
                </c:pt>
                <c:pt idx="19">
                  <c:v>183710</c:v>
                </c:pt>
                <c:pt idx="20">
                  <c:v>173524</c:v>
                </c:pt>
                <c:pt idx="21">
                  <c:v>103358</c:v>
                </c:pt>
                <c:pt idx="22">
                  <c:v>110368</c:v>
                </c:pt>
                <c:pt idx="23">
                  <c:v>47999</c:v>
                </c:pt>
                <c:pt idx="24">
                  <c:v>61453</c:v>
                </c:pt>
                <c:pt idx="25">
                  <c:v>45827</c:v>
                </c:pt>
                <c:pt idx="26">
                  <c:v>107611</c:v>
                </c:pt>
                <c:pt idx="27">
                  <c:v>253054</c:v>
                </c:pt>
                <c:pt idx="28">
                  <c:v>329182</c:v>
                </c:pt>
                <c:pt idx="29">
                  <c:v>224217</c:v>
                </c:pt>
                <c:pt idx="30">
                  <c:v>513040</c:v>
                </c:pt>
                <c:pt idx="31">
                  <c:v>415290</c:v>
                </c:pt>
                <c:pt idx="32">
                  <c:v>411298</c:v>
                </c:pt>
                <c:pt idx="33">
                  <c:v>437333</c:v>
                </c:pt>
                <c:pt idx="34">
                  <c:v>464611</c:v>
                </c:pt>
                <c:pt idx="35">
                  <c:v>526112</c:v>
                </c:pt>
                <c:pt idx="36">
                  <c:v>526025</c:v>
                </c:pt>
                <c:pt idx="37">
                  <c:v>649062</c:v>
                </c:pt>
                <c:pt idx="38">
                  <c:v>745240</c:v>
                </c:pt>
                <c:pt idx="39">
                  <c:v>764833</c:v>
                </c:pt>
                <c:pt idx="40">
                  <c:v>972725</c:v>
                </c:pt>
                <c:pt idx="41">
                  <c:v>828633</c:v>
                </c:pt>
                <c:pt idx="42">
                  <c:v>1275622</c:v>
                </c:pt>
                <c:pt idx="43">
                  <c:v>1228945</c:v>
                </c:pt>
              </c:numCache>
            </c:numRef>
          </c:val>
          <c:extLst>
            <c:ext xmlns:c16="http://schemas.microsoft.com/office/drawing/2014/chart" uri="{C3380CC4-5D6E-409C-BE32-E72D297353CC}">
              <c16:uniqueId val="{00000002-A360-4EF5-B37F-456A19A6CCC2}"/>
            </c:ext>
          </c:extLst>
        </c:ser>
        <c:dLbls>
          <c:showLegendKey val="0"/>
          <c:showVal val="0"/>
          <c:showCatName val="0"/>
          <c:showSerName val="0"/>
          <c:showPercent val="0"/>
          <c:showBubbleSize val="0"/>
        </c:dLbls>
        <c:gapWidth val="219"/>
        <c:overlap val="-27"/>
        <c:axId val="223475840"/>
        <c:axId val="223476400"/>
      </c:barChart>
      <c:catAx>
        <c:axId val="22347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476400"/>
        <c:crosses val="autoZero"/>
        <c:auto val="1"/>
        <c:lblAlgn val="ctr"/>
        <c:lblOffset val="100"/>
        <c:noMultiLvlLbl val="0"/>
      </c:catAx>
      <c:valAx>
        <c:axId val="22347640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475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solidFill>
                  <a:sysClr val="windowText" lastClr="000000"/>
                </a:solidFill>
              </a:rPr>
              <a:t>Royal Society Publication Total Expenditure (adjusted to 2010£)</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Expenditure!$A$73:$A$118</c:f>
              <c:numCache>
                <c:formatCode>General</c:formatCode>
                <c:ptCount val="4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numCache>
            </c:numRef>
          </c:cat>
          <c:val>
            <c:numRef>
              <c:f>Expenditure!$BX$73:$BX$118</c:f>
              <c:numCache>
                <c:formatCode>_-* #,##0_-;\-* #,##0_-;_-* "-"??_-;_-@_-</c:formatCode>
                <c:ptCount val="46"/>
                <c:pt idx="0">
                  <c:v>515919.96258685197</c:v>
                </c:pt>
                <c:pt idx="1">
                  <c:v>606266.94430834556</c:v>
                </c:pt>
                <c:pt idx="2">
                  <c:v>792326.54473369231</c:v>
                </c:pt>
                <c:pt idx="3">
                  <c:v>671386.92290940776</c:v>
                </c:pt>
                <c:pt idx="4">
                  <c:v>565649.42344650859</c:v>
                </c:pt>
                <c:pt idx="5">
                  <c:v>892961.25775867945</c:v>
                </c:pt>
                <c:pt idx="6">
                  <c:v>566997.35578482901</c:v>
                </c:pt>
                <c:pt idx="7">
                  <c:v>688837.20383602858</c:v>
                </c:pt>
                <c:pt idx="8">
                  <c:v>775576.48505830904</c:v>
                </c:pt>
                <c:pt idx="9">
                  <c:v>740533.10046573519</c:v>
                </c:pt>
                <c:pt idx="10">
                  <c:v>1104524.5899185825</c:v>
                </c:pt>
                <c:pt idx="11">
                  <c:v>845791.81134259247</c:v>
                </c:pt>
                <c:pt idx="12">
                  <c:v>1002710.7598447034</c:v>
                </c:pt>
                <c:pt idx="13">
                  <c:v>926482.72905438498</c:v>
                </c:pt>
                <c:pt idx="14">
                  <c:v>1079152.8370475739</c:v>
                </c:pt>
                <c:pt idx="15">
                  <c:v>1179432.1957112656</c:v>
                </c:pt>
                <c:pt idx="16">
                  <c:v>1388341.263499443</c:v>
                </c:pt>
                <c:pt idx="17">
                  <c:v>1371404.3035107588</c:v>
                </c:pt>
                <c:pt idx="18">
                  <c:v>1148179.24613373</c:v>
                </c:pt>
                <c:pt idx="19">
                  <c:v>1338703.4659820283</c:v>
                </c:pt>
                <c:pt idx="20">
                  <c:v>1505404.7532874895</c:v>
                </c:pt>
                <c:pt idx="21">
                  <c:v>1908444.493440635</c:v>
                </c:pt>
                <c:pt idx="22">
                  <c:v>1658304.1778143651</c:v>
                </c:pt>
                <c:pt idx="23">
                  <c:v>1261384.6444067156</c:v>
                </c:pt>
                <c:pt idx="24">
                  <c:v>1371953.9949605786</c:v>
                </c:pt>
                <c:pt idx="25">
                  <c:v>1706306.836768073</c:v>
                </c:pt>
                <c:pt idx="26">
                  <c:v>2519911.3057146063</c:v>
                </c:pt>
                <c:pt idx="27">
                  <c:v>2503714.1057324223</c:v>
                </c:pt>
                <c:pt idx="28">
                  <c:v>1788191.8654078483</c:v>
                </c:pt>
                <c:pt idx="29">
                  <c:v>1519121.6509489799</c:v>
                </c:pt>
                <c:pt idx="30">
                  <c:v>2443361.3925955654</c:v>
                </c:pt>
                <c:pt idx="31">
                  <c:v>2399375.6539415857</c:v>
                </c:pt>
                <c:pt idx="32">
                  <c:v>2247592.9646858056</c:v>
                </c:pt>
                <c:pt idx="33">
                  <c:v>2188294.1207431969</c:v>
                </c:pt>
                <c:pt idx="34">
                  <c:v>1967047.7049961144</c:v>
                </c:pt>
                <c:pt idx="35">
                  <c:v>1886672.3380121933</c:v>
                </c:pt>
                <c:pt idx="36">
                  <c:v>1875355.3635906577</c:v>
                </c:pt>
                <c:pt idx="37">
                  <c:v>1968297.3915714193</c:v>
                </c:pt>
                <c:pt idx="38">
                  <c:v>2084478.3236087584</c:v>
                </c:pt>
                <c:pt idx="39">
                  <c:v>1879971.2822104935</c:v>
                </c:pt>
                <c:pt idx="40">
                  <c:v>2215289.3001489048</c:v>
                </c:pt>
                <c:pt idx="41">
                  <c:v>953441.72261942644</c:v>
                </c:pt>
                <c:pt idx="42">
                  <c:v>1616800.3615410686</c:v>
                </c:pt>
                <c:pt idx="43">
                  <c:v>1631458.1215048297</c:v>
                </c:pt>
                <c:pt idx="44">
                  <c:v>1580315.8400943179</c:v>
                </c:pt>
                <c:pt idx="45">
                  <c:v>1497332.713615305</c:v>
                </c:pt>
              </c:numCache>
            </c:numRef>
          </c:val>
          <c:extLst>
            <c:ext xmlns:c16="http://schemas.microsoft.com/office/drawing/2014/chart" uri="{C3380CC4-5D6E-409C-BE32-E72D297353CC}">
              <c16:uniqueId val="{00000000-2C98-40B3-AF0C-E8FA9A4A290F}"/>
            </c:ext>
          </c:extLst>
        </c:ser>
        <c:dLbls>
          <c:showLegendKey val="0"/>
          <c:showVal val="0"/>
          <c:showCatName val="0"/>
          <c:showSerName val="0"/>
          <c:showPercent val="0"/>
          <c:showBubbleSize val="0"/>
        </c:dLbls>
        <c:gapWidth val="219"/>
        <c:overlap val="-27"/>
        <c:axId val="223479760"/>
        <c:axId val="223480320"/>
      </c:barChart>
      <c:catAx>
        <c:axId val="22347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480320"/>
        <c:crosses val="autoZero"/>
        <c:auto val="1"/>
        <c:lblAlgn val="ctr"/>
        <c:lblOffset val="100"/>
        <c:noMultiLvlLbl val="0"/>
      </c:catAx>
      <c:valAx>
        <c:axId val="22348032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479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Royal Society income and expenditure</a:t>
            </a:r>
            <a:r>
              <a:rPr lang="en-GB" baseline="0"/>
              <a:t> on publications, 1880-2010 (adjusted to 2010£)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Income!$BJ$1</c:f>
              <c:strCache>
                <c:ptCount val="1"/>
                <c:pt idx="0">
                  <c:v>Publications Income (adjusted to 2010£)</c:v>
                </c:pt>
              </c:strCache>
            </c:strRef>
          </c:tx>
          <c:spPr>
            <a:ln w="19050" cap="rnd">
              <a:solidFill>
                <a:schemeClr val="accent6">
                  <a:lumMod val="40000"/>
                  <a:lumOff val="60000"/>
                </a:schemeClr>
              </a:solidFill>
              <a:round/>
            </a:ln>
            <a:effectLst/>
          </c:spPr>
          <c:marker>
            <c:symbol val="none"/>
          </c:marker>
          <c:trendline>
            <c:name>Income (5-yr moving average)</c:name>
            <c:spPr>
              <a:ln w="25400" cap="rnd">
                <a:solidFill>
                  <a:srgbClr val="00B050"/>
                </a:solidFill>
                <a:prstDash val="solid"/>
              </a:ln>
              <a:effectLst/>
            </c:spPr>
            <c:trendlineType val="movingAvg"/>
            <c:period val="5"/>
            <c:dispRSqr val="0"/>
            <c:dispEq val="0"/>
          </c:trendline>
          <c:cat>
            <c:numRef>
              <c:f>Income!$A$2:$A$132</c:f>
              <c:numCache>
                <c:formatCode>General</c:formatCode>
                <c:ptCount val="131"/>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numCache>
            </c:numRef>
          </c:cat>
          <c:val>
            <c:numRef>
              <c:f>Income!$BJ$2:$BJ$132</c:f>
              <c:numCache>
                <c:formatCode>_-* #,##0_-;\-* #,##0_-;_-* "-"??_-;_-@_-</c:formatCode>
                <c:ptCount val="131"/>
                <c:pt idx="0">
                  <c:v>61302.40683229814</c:v>
                </c:pt>
                <c:pt idx="1">
                  <c:v>73747.705218987685</c:v>
                </c:pt>
                <c:pt idx="2">
                  <c:v>61533.778476040854</c:v>
                </c:pt>
                <c:pt idx="3">
                  <c:v>68220.083791568482</c:v>
                </c:pt>
                <c:pt idx="4">
                  <c:v>66324.525745257444</c:v>
                </c:pt>
                <c:pt idx="5">
                  <c:v>10096.531873069362</c:v>
                </c:pt>
                <c:pt idx="6">
                  <c:v>103510.69102237327</c:v>
                </c:pt>
                <c:pt idx="7">
                  <c:v>65085.646140503035</c:v>
                </c:pt>
                <c:pt idx="8">
                  <c:v>51635.172313929914</c:v>
                </c:pt>
                <c:pt idx="9">
                  <c:v>58411.637931034486</c:v>
                </c:pt>
                <c:pt idx="10">
                  <c:v>56130.901287553635</c:v>
                </c:pt>
                <c:pt idx="11">
                  <c:v>48190.658716638274</c:v>
                </c:pt>
                <c:pt idx="12">
                  <c:v>59223.565168221648</c:v>
                </c:pt>
                <c:pt idx="13">
                  <c:v>56167.82006920415</c:v>
                </c:pt>
                <c:pt idx="14">
                  <c:v>60213.513913558323</c:v>
                </c:pt>
                <c:pt idx="15">
                  <c:v>99100.225225225222</c:v>
                </c:pt>
                <c:pt idx="16">
                  <c:v>70444.118531889282</c:v>
                </c:pt>
                <c:pt idx="17">
                  <c:v>66737.831858407095</c:v>
                </c:pt>
                <c:pt idx="18">
                  <c:v>47132.203880683468</c:v>
                </c:pt>
                <c:pt idx="19">
                  <c:v>0</c:v>
                </c:pt>
                <c:pt idx="20">
                  <c:v>59772.151898734184</c:v>
                </c:pt>
                <c:pt idx="21">
                  <c:v>68027.801298334743</c:v>
                </c:pt>
                <c:pt idx="22">
                  <c:v>85693.974033305101</c:v>
                </c:pt>
                <c:pt idx="23">
                  <c:v>90033.849804578465</c:v>
                </c:pt>
                <c:pt idx="24">
                  <c:v>72104.691876750701</c:v>
                </c:pt>
                <c:pt idx="25">
                  <c:v>68580.053042992746</c:v>
                </c:pt>
                <c:pt idx="26">
                  <c:v>75422.609060402683</c:v>
                </c:pt>
                <c:pt idx="27">
                  <c:v>96748.831133113315</c:v>
                </c:pt>
                <c:pt idx="28">
                  <c:v>96622.217698154185</c:v>
                </c:pt>
                <c:pt idx="29">
                  <c:v>79549.119241192413</c:v>
                </c:pt>
                <c:pt idx="30">
                  <c:v>78614.649681528652</c:v>
                </c:pt>
                <c:pt idx="31">
                  <c:v>79059.438707969297</c:v>
                </c:pt>
                <c:pt idx="32">
                  <c:v>83646.396396396405</c:v>
                </c:pt>
                <c:pt idx="33">
                  <c:v>96390.061396776684</c:v>
                </c:pt>
                <c:pt idx="34">
                  <c:v>84471.369760479036</c:v>
                </c:pt>
                <c:pt idx="35">
                  <c:v>56146.875</c:v>
                </c:pt>
                <c:pt idx="36">
                  <c:v>41398.951172219284</c:v>
                </c:pt>
                <c:pt idx="37">
                  <c:v>30825.320512820519</c:v>
                </c:pt>
                <c:pt idx="38">
                  <c:v>20313.449848024313</c:v>
                </c:pt>
                <c:pt idx="39">
                  <c:v>41463.560334528076</c:v>
                </c:pt>
                <c:pt idx="40">
                  <c:v>42327.69423558897</c:v>
                </c:pt>
                <c:pt idx="41">
                  <c:v>69031.862745098028</c:v>
                </c:pt>
                <c:pt idx="42">
                  <c:v>73540.069562748424</c:v>
                </c:pt>
                <c:pt idx="43">
                  <c:v>89367.586002372438</c:v>
                </c:pt>
                <c:pt idx="44">
                  <c:v>109941.42941874257</c:v>
                </c:pt>
                <c:pt idx="45">
                  <c:v>149799.26601423489</c:v>
                </c:pt>
                <c:pt idx="46">
                  <c:v>163304.66274332275</c:v>
                </c:pt>
                <c:pt idx="47">
                  <c:v>167427.45189323399</c:v>
                </c:pt>
                <c:pt idx="48">
                  <c:v>193409.89191729322</c:v>
                </c:pt>
                <c:pt idx="49">
                  <c:v>224414.61198040147</c:v>
                </c:pt>
                <c:pt idx="50">
                  <c:v>246687.00690335303</c:v>
                </c:pt>
                <c:pt idx="51">
                  <c:v>342475.26938703406</c:v>
                </c:pt>
                <c:pt idx="52">
                  <c:v>339588.74751849851</c:v>
                </c:pt>
                <c:pt idx="53">
                  <c:v>360056.29383536358</c:v>
                </c:pt>
                <c:pt idx="54">
                  <c:v>440915.00553709856</c:v>
                </c:pt>
                <c:pt idx="55">
                  <c:v>445479.83216025995</c:v>
                </c:pt>
                <c:pt idx="56">
                  <c:v>433455.66154389683</c:v>
                </c:pt>
                <c:pt idx="57">
                  <c:v>398073.30984734098</c:v>
                </c:pt>
                <c:pt idx="58">
                  <c:v>422891.97377158032</c:v>
                </c:pt>
                <c:pt idx="59">
                  <c:v>311545.57543520309</c:v>
                </c:pt>
                <c:pt idx="60">
                  <c:v>252834.50454287336</c:v>
                </c:pt>
                <c:pt idx="61">
                  <c:v>144358.02111497361</c:v>
                </c:pt>
                <c:pt idx="62">
                  <c:v>98716.375863322406</c:v>
                </c:pt>
                <c:pt idx="63">
                  <c:v>47180.229159359289</c:v>
                </c:pt>
                <c:pt idx="64">
                  <c:v>76979.989694263131</c:v>
                </c:pt>
                <c:pt idx="65">
                  <c:v>64550.516100078537</c:v>
                </c:pt>
                <c:pt idx="66">
                  <c:v>142195.75649735791</c:v>
                </c:pt>
                <c:pt idx="67">
                  <c:v>202877.12338521003</c:v>
                </c:pt>
                <c:pt idx="68">
                  <c:v>346723.15182454151</c:v>
                </c:pt>
                <c:pt idx="69">
                  <c:v>464011.32084137044</c:v>
                </c:pt>
                <c:pt idx="70">
                  <c:v>438643.66203456273</c:v>
                </c:pt>
                <c:pt idx="71">
                  <c:v>570259.16625837015</c:v>
                </c:pt>
                <c:pt idx="72">
                  <c:v>668418.98563734279</c:v>
                </c:pt>
                <c:pt idx="73">
                  <c:v>547398.19250871078</c:v>
                </c:pt>
                <c:pt idx="74">
                  <c:v>415387.8389920991</c:v>
                </c:pt>
                <c:pt idx="75">
                  <c:v>1231556.7662505968</c:v>
                </c:pt>
                <c:pt idx="76">
                  <c:v>1062014.3890727405</c:v>
                </c:pt>
                <c:pt idx="77">
                  <c:v>998523.33270653128</c:v>
                </c:pt>
                <c:pt idx="78">
                  <c:v>1178621.8415937803</c:v>
                </c:pt>
                <c:pt idx="79">
                  <c:v>1050448.648158229</c:v>
                </c:pt>
                <c:pt idx="80">
                  <c:v>1264840.9812021074</c:v>
                </c:pt>
                <c:pt idx="81">
                  <c:v>1266275.607638889</c:v>
                </c:pt>
                <c:pt idx="82">
                  <c:v>1266500.8319467553</c:v>
                </c:pt>
                <c:pt idx="83">
                  <c:v>1308235.4102019707</c:v>
                </c:pt>
                <c:pt idx="84">
                  <c:v>1958795.6377430062</c:v>
                </c:pt>
                <c:pt idx="85">
                  <c:v>1668091.2111144669</c:v>
                </c:pt>
                <c:pt idx="86">
                  <c:v>2088949.7675432223</c:v>
                </c:pt>
                <c:pt idx="87">
                  <c:v>2092143.261608154</c:v>
                </c:pt>
                <c:pt idx="88">
                  <c:v>1883824.7892150229</c:v>
                </c:pt>
                <c:pt idx="89">
                  <c:v>2334788.1899871631</c:v>
                </c:pt>
                <c:pt idx="90">
                  <c:v>2453396.0670768493</c:v>
                </c:pt>
                <c:pt idx="91">
                  <c:v>2753819.8655054569</c:v>
                </c:pt>
                <c:pt idx="92">
                  <c:v>2089061.5352953281</c:v>
                </c:pt>
                <c:pt idx="93">
                  <c:v>1732239.200150915</c:v>
                </c:pt>
                <c:pt idx="94">
                  <c:v>2236064.3745427942</c:v>
                </c:pt>
                <c:pt idx="95">
                  <c:v>2157598.9532221132</c:v>
                </c:pt>
                <c:pt idx="96">
                  <c:v>2464017.0652295947</c:v>
                </c:pt>
                <c:pt idx="97">
                  <c:v>2776256.2387943985</c:v>
                </c:pt>
                <c:pt idx="98">
                  <c:v>2813468.1641236744</c:v>
                </c:pt>
                <c:pt idx="99">
                  <c:v>2036061.2397900801</c:v>
                </c:pt>
                <c:pt idx="100">
                  <c:v>2535440.2862780509</c:v>
                </c:pt>
                <c:pt idx="101">
                  <c:v>2526582.4041134794</c:v>
                </c:pt>
                <c:pt idx="102">
                  <c:v>2564465.6078830748</c:v>
                </c:pt>
                <c:pt idx="103">
                  <c:v>2563066.47718301</c:v>
                </c:pt>
                <c:pt idx="104">
                  <c:v>2368722.2681807927</c:v>
                </c:pt>
                <c:pt idx="105">
                  <c:v>2395250.2481213668</c:v>
                </c:pt>
                <c:pt idx="106">
                  <c:v>2361511.0379816261</c:v>
                </c:pt>
                <c:pt idx="107">
                  <c:v>2351073.8652567845</c:v>
                </c:pt>
                <c:pt idx="108">
                  <c:v>2422029.822029822</c:v>
                </c:pt>
                <c:pt idx="109">
                  <c:v>2231612.8531511952</c:v>
                </c:pt>
                <c:pt idx="110">
                  <c:v>2337931.6457491312</c:v>
                </c:pt>
                <c:pt idx="111">
                  <c:v>1169135.8438122666</c:v>
                </c:pt>
                <c:pt idx="112">
                  <c:v>2145483.1576738707</c:v>
                </c:pt>
                <c:pt idx="113">
                  <c:v>2205344.4331469238</c:v>
                </c:pt>
                <c:pt idx="114">
                  <c:v>2077287.7464592094</c:v>
                </c:pt>
                <c:pt idx="115">
                  <c:v>2028410.5731891987</c:v>
                </c:pt>
                <c:pt idx="116">
                  <c:v>1913727.7292224807</c:v>
                </c:pt>
                <c:pt idx="117">
                  <c:v>1921930.4471256207</c:v>
                </c:pt>
                <c:pt idx="118">
                  <c:v>2116242.3660193514</c:v>
                </c:pt>
                <c:pt idx="119">
                  <c:v>2146293.993620587</c:v>
                </c:pt>
                <c:pt idx="120">
                  <c:v>2340632.2201218233</c:v>
                </c:pt>
                <c:pt idx="121">
                  <c:v>2286974.6923612724</c:v>
                </c:pt>
                <c:pt idx="123">
                  <c:v>2390934.4250166463</c:v>
                </c:pt>
                <c:pt idx="124">
                  <c:v>2575646.9052722328</c:v>
                </c:pt>
                <c:pt idx="125">
                  <c:v>2570134.2711742031</c:v>
                </c:pt>
                <c:pt idx="126">
                  <c:v>2657563.6178976474</c:v>
                </c:pt>
                <c:pt idx="127">
                  <c:v>2858874.1965503059</c:v>
                </c:pt>
                <c:pt idx="128">
                  <c:v>3112966.0082013281</c:v>
                </c:pt>
                <c:pt idx="129">
                  <c:v>4070552.0509682079</c:v>
                </c:pt>
              </c:numCache>
            </c:numRef>
          </c:val>
          <c:smooth val="0"/>
          <c:extLst>
            <c:ext xmlns:c16="http://schemas.microsoft.com/office/drawing/2014/chart" uri="{C3380CC4-5D6E-409C-BE32-E72D297353CC}">
              <c16:uniqueId val="{00000000-C304-4BF2-B1E1-E1199251E8DC}"/>
            </c:ext>
          </c:extLst>
        </c:ser>
        <c:ser>
          <c:idx val="2"/>
          <c:order val="2"/>
          <c:tx>
            <c:strRef>
              <c:f>Expenditure!$BX$2</c:f>
              <c:strCache>
                <c:ptCount val="1"/>
                <c:pt idx="0">
                  <c:v>Expenditure adjusted to 2010£</c:v>
                </c:pt>
              </c:strCache>
            </c:strRef>
          </c:tx>
          <c:spPr>
            <a:ln w="22225" cap="rnd">
              <a:solidFill>
                <a:schemeClr val="accent2">
                  <a:lumMod val="40000"/>
                  <a:lumOff val="60000"/>
                </a:schemeClr>
              </a:solidFill>
              <a:round/>
            </a:ln>
            <a:effectLst/>
          </c:spPr>
          <c:marker>
            <c:symbol val="none"/>
          </c:marker>
          <c:trendline>
            <c:name>Expenditure (5-yr moving average)</c:name>
            <c:spPr>
              <a:ln w="25400" cap="rnd">
                <a:solidFill>
                  <a:schemeClr val="accent2"/>
                </a:solidFill>
                <a:prstDash val="solid"/>
              </a:ln>
              <a:effectLst/>
            </c:spPr>
            <c:trendlineType val="movingAvg"/>
            <c:period val="5"/>
            <c:dispRSqr val="0"/>
            <c:dispEq val="0"/>
          </c:trendline>
          <c:cat>
            <c:numRef>
              <c:f>Income!$A$2:$A$132</c:f>
              <c:numCache>
                <c:formatCode>General</c:formatCode>
                <c:ptCount val="131"/>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numCache>
            </c:numRef>
          </c:cat>
          <c:val>
            <c:numRef>
              <c:f>Expenditure!$BX$3:$BX$133</c:f>
              <c:numCache>
                <c:formatCode>_-* #,##0_-;\-* #,##0_-;_-* "-"??_-;_-@_-</c:formatCode>
                <c:ptCount val="131"/>
                <c:pt idx="0">
                  <c:v>157615.48913043478</c:v>
                </c:pt>
                <c:pt idx="1">
                  <c:v>175123.59034880673</c:v>
                </c:pt>
                <c:pt idx="2">
                  <c:v>200496.85781618225</c:v>
                </c:pt>
                <c:pt idx="3">
                  <c:v>196733.43807279394</c:v>
                </c:pt>
                <c:pt idx="4">
                  <c:v>164332.31707317074</c:v>
                </c:pt>
                <c:pt idx="5">
                  <c:v>138958.85987082278</c:v>
                </c:pt>
                <c:pt idx="6">
                  <c:v>237063.50892098557</c:v>
                </c:pt>
                <c:pt idx="7">
                  <c:v>212930.76033535704</c:v>
                </c:pt>
                <c:pt idx="8">
                  <c:v>208306.54503330437</c:v>
                </c:pt>
                <c:pt idx="9">
                  <c:v>155244.25287356324</c:v>
                </c:pt>
                <c:pt idx="10">
                  <c:v>183631.61659513591</c:v>
                </c:pt>
                <c:pt idx="11">
                  <c:v>196441.6524701874</c:v>
                </c:pt>
                <c:pt idx="12">
                  <c:v>203445.36330223351</c:v>
                </c:pt>
                <c:pt idx="13">
                  <c:v>289217.84890426759</c:v>
                </c:pt>
                <c:pt idx="14">
                  <c:v>378735.1983422144</c:v>
                </c:pt>
                <c:pt idx="15">
                  <c:v>178067.19219219219</c:v>
                </c:pt>
                <c:pt idx="16">
                  <c:v>208334.8375451263</c:v>
                </c:pt>
                <c:pt idx="17">
                  <c:v>188030.60471976403</c:v>
                </c:pt>
                <c:pt idx="18">
                  <c:v>239389.29916015058</c:v>
                </c:pt>
                <c:pt idx="19">
                  <c:v>154925.00731635938</c:v>
                </c:pt>
                <c:pt idx="20">
                  <c:v>187359.35302390999</c:v>
                </c:pt>
                <c:pt idx="21">
                  <c:v>228874.89415749363</c:v>
                </c:pt>
                <c:pt idx="22">
                  <c:v>206305.74372001129</c:v>
                </c:pt>
                <c:pt idx="23">
                  <c:v>223534.338358459</c:v>
                </c:pt>
                <c:pt idx="24">
                  <c:v>231571.07843137256</c:v>
                </c:pt>
                <c:pt idx="25">
                  <c:v>186321.189279732</c:v>
                </c:pt>
                <c:pt idx="26">
                  <c:v>321887.58389261749</c:v>
                </c:pt>
                <c:pt idx="27">
                  <c:v>202524.75247524754</c:v>
                </c:pt>
                <c:pt idx="28">
                  <c:v>249684.10694896852</c:v>
                </c:pt>
                <c:pt idx="29">
                  <c:v>172882.79132791326</c:v>
                </c:pt>
                <c:pt idx="30">
                  <c:v>204076.4331210191</c:v>
                </c:pt>
                <c:pt idx="31">
                  <c:v>199973.52396081551</c:v>
                </c:pt>
                <c:pt idx="32">
                  <c:v>194103.60360360361</c:v>
                </c:pt>
                <c:pt idx="33">
                  <c:v>219174.02148887186</c:v>
                </c:pt>
                <c:pt idx="34">
                  <c:v>234839.07185628742</c:v>
                </c:pt>
                <c:pt idx="35">
                  <c:v>146120.3125</c:v>
                </c:pt>
                <c:pt idx="36">
                  <c:v>125874.53728186144</c:v>
                </c:pt>
                <c:pt idx="37">
                  <c:v>79435.824592074612</c:v>
                </c:pt>
                <c:pt idx="38">
                  <c:v>67008.453647416405</c:v>
                </c:pt>
                <c:pt idx="39">
                  <c:v>109171.59498207884</c:v>
                </c:pt>
                <c:pt idx="40">
                  <c:v>192169.09461152882</c:v>
                </c:pt>
                <c:pt idx="41">
                  <c:v>175838.81199538638</c:v>
                </c:pt>
                <c:pt idx="42">
                  <c:v>224271.36570130606</c:v>
                </c:pt>
                <c:pt idx="43">
                  <c:v>254116.62218268088</c:v>
                </c:pt>
                <c:pt idx="44">
                  <c:v>266217.19306049816</c:v>
                </c:pt>
                <c:pt idx="45">
                  <c:v>342537.81138790032</c:v>
                </c:pt>
                <c:pt idx="46">
                  <c:v>383590.42553191492</c:v>
                </c:pt>
                <c:pt idx="47">
                  <c:v>411603.62352576031</c:v>
                </c:pt>
                <c:pt idx="48">
                  <c:v>429840.42136591469</c:v>
                </c:pt>
                <c:pt idx="49">
                  <c:v>478408.21084242145</c:v>
                </c:pt>
                <c:pt idx="50">
                  <c:v>463763.76561472705</c:v>
                </c:pt>
                <c:pt idx="51">
                  <c:v>517215.81875993632</c:v>
                </c:pt>
                <c:pt idx="52">
                  <c:v>516578.46056668466</c:v>
                </c:pt>
                <c:pt idx="53">
                  <c:v>545511.48947951267</c:v>
                </c:pt>
                <c:pt idx="54">
                  <c:v>571770.25655223336</c:v>
                </c:pt>
                <c:pt idx="55">
                  <c:v>651384.90344703128</c:v>
                </c:pt>
                <c:pt idx="56">
                  <c:v>613493.64069952304</c:v>
                </c:pt>
                <c:pt idx="57">
                  <c:v>565033.55141754739</c:v>
                </c:pt>
                <c:pt idx="58">
                  <c:v>522189.78253652056</c:v>
                </c:pt>
                <c:pt idx="59">
                  <c:v>421192.37588652479</c:v>
                </c:pt>
                <c:pt idx="60">
                  <c:v>401268.98779102787</c:v>
                </c:pt>
                <c:pt idx="61">
                  <c:v>226482.87627140468</c:v>
                </c:pt>
                <c:pt idx="62">
                  <c:v>220303.37453047372</c:v>
                </c:pt>
                <c:pt idx="63">
                  <c:v>138207.79258739625</c:v>
                </c:pt>
                <c:pt idx="64">
                  <c:v>151486.60254208176</c:v>
                </c:pt>
                <c:pt idx="65">
                  <c:v>138522.5232806014</c:v>
                </c:pt>
                <c:pt idx="66">
                  <c:v>223611.83004421438</c:v>
                </c:pt>
                <c:pt idx="67">
                  <c:v>351952.87864917098</c:v>
                </c:pt>
                <c:pt idx="68">
                  <c:v>439307.87956135371</c:v>
                </c:pt>
                <c:pt idx="69">
                  <c:v>455738.03618995135</c:v>
                </c:pt>
                <c:pt idx="70">
                  <c:v>515919.96258685197</c:v>
                </c:pt>
                <c:pt idx="71">
                  <c:v>606266.94430834556</c:v>
                </c:pt>
                <c:pt idx="72">
                  <c:v>792326.54473369231</c:v>
                </c:pt>
                <c:pt idx="73">
                  <c:v>671386.92290940776</c:v>
                </c:pt>
                <c:pt idx="74">
                  <c:v>565649.42344650859</c:v>
                </c:pt>
                <c:pt idx="75">
                  <c:v>892961.25775867945</c:v>
                </c:pt>
                <c:pt idx="76">
                  <c:v>566997.35578482901</c:v>
                </c:pt>
                <c:pt idx="77">
                  <c:v>688837.20383602858</c:v>
                </c:pt>
                <c:pt idx="78">
                  <c:v>775576.48505830904</c:v>
                </c:pt>
                <c:pt idx="79">
                  <c:v>740533.10046573519</c:v>
                </c:pt>
                <c:pt idx="80">
                  <c:v>1104524.5899185825</c:v>
                </c:pt>
                <c:pt idx="81">
                  <c:v>845791.81134259247</c:v>
                </c:pt>
                <c:pt idx="82">
                  <c:v>1002710.7598447034</c:v>
                </c:pt>
                <c:pt idx="83">
                  <c:v>926482.72905438498</c:v>
                </c:pt>
                <c:pt idx="84">
                  <c:v>1079152.8370475739</c:v>
                </c:pt>
                <c:pt idx="85">
                  <c:v>1179432.1957112656</c:v>
                </c:pt>
                <c:pt idx="86">
                  <c:v>1388341.263499443</c:v>
                </c:pt>
                <c:pt idx="87">
                  <c:v>1371404.3035107588</c:v>
                </c:pt>
                <c:pt idx="88">
                  <c:v>1148179.24613373</c:v>
                </c:pt>
                <c:pt idx="89">
                  <c:v>1338703.4659820283</c:v>
                </c:pt>
                <c:pt idx="90">
                  <c:v>1505404.7532874895</c:v>
                </c:pt>
                <c:pt idx="91">
                  <c:v>1908444.493440635</c:v>
                </c:pt>
                <c:pt idx="92">
                  <c:v>1658304.1778143651</c:v>
                </c:pt>
                <c:pt idx="93">
                  <c:v>1261384.6444067156</c:v>
                </c:pt>
                <c:pt idx="94">
                  <c:v>1371953.9949605786</c:v>
                </c:pt>
                <c:pt idx="95">
                  <c:v>1706306.836768073</c:v>
                </c:pt>
                <c:pt idx="96">
                  <c:v>2519911.3057146063</c:v>
                </c:pt>
                <c:pt idx="97">
                  <c:v>2503714.1057324223</c:v>
                </c:pt>
                <c:pt idx="98">
                  <c:v>1788191.8654078483</c:v>
                </c:pt>
                <c:pt idx="99">
                  <c:v>1519121.6509489799</c:v>
                </c:pt>
                <c:pt idx="100">
                  <c:v>2443361.3925955654</c:v>
                </c:pt>
                <c:pt idx="101">
                  <c:v>2399375.6539415857</c:v>
                </c:pt>
                <c:pt idx="102">
                  <c:v>2247592.9646858056</c:v>
                </c:pt>
                <c:pt idx="103">
                  <c:v>2188294.1207431969</c:v>
                </c:pt>
                <c:pt idx="104">
                  <c:v>1967047.7049961144</c:v>
                </c:pt>
                <c:pt idx="105">
                  <c:v>1886672.3380121933</c:v>
                </c:pt>
                <c:pt idx="106">
                  <c:v>1875355.3635906577</c:v>
                </c:pt>
                <c:pt idx="107">
                  <c:v>1968297.3915714193</c:v>
                </c:pt>
                <c:pt idx="108">
                  <c:v>2084478.3236087584</c:v>
                </c:pt>
                <c:pt idx="109">
                  <c:v>1879971.2822104935</c:v>
                </c:pt>
                <c:pt idx="110">
                  <c:v>2215289.3001489048</c:v>
                </c:pt>
                <c:pt idx="111">
                  <c:v>953441.72261942644</c:v>
                </c:pt>
                <c:pt idx="112">
                  <c:v>1616800.3615410686</c:v>
                </c:pt>
                <c:pt idx="113">
                  <c:v>1631458.1215048297</c:v>
                </c:pt>
                <c:pt idx="114">
                  <c:v>1580315.8400943179</c:v>
                </c:pt>
                <c:pt idx="115">
                  <c:v>1497332.713615305</c:v>
                </c:pt>
                <c:pt idx="116">
                  <c:v>1547276.2674396473</c:v>
                </c:pt>
                <c:pt idx="117">
                  <c:v>1691980.1277501774</c:v>
                </c:pt>
                <c:pt idx="118">
                  <c:v>1659232.8278322925</c:v>
                </c:pt>
                <c:pt idx="119">
                  <c:v>1763799.5350597394</c:v>
                </c:pt>
                <c:pt idx="120">
                  <c:v>1949432.8922495274</c:v>
                </c:pt>
                <c:pt idx="121">
                  <c:v>1976111.2401000955</c:v>
                </c:pt>
                <c:pt idx="122">
                  <c:v>1936105.9656423659</c:v>
                </c:pt>
                <c:pt idx="123">
                  <c:v>1900170.1644923426</c:v>
                </c:pt>
                <c:pt idx="124">
                  <c:v>2046387.9874989521</c:v>
                </c:pt>
                <c:pt idx="125">
                  <c:v>1960731.7953674698</c:v>
                </c:pt>
                <c:pt idx="126">
                  <c:v>2024487.9535067426</c:v>
                </c:pt>
                <c:pt idx="127">
                  <c:v>2083017.7245871837</c:v>
                </c:pt>
                <c:pt idx="128">
                  <c:v>2291792.4273016802</c:v>
                </c:pt>
                <c:pt idx="129">
                  <c:v>3255604.7243929743</c:v>
                </c:pt>
                <c:pt idx="130">
                  <c:v>2999000</c:v>
                </c:pt>
              </c:numCache>
            </c:numRef>
          </c:val>
          <c:smooth val="0"/>
          <c:extLst>
            <c:ext xmlns:c16="http://schemas.microsoft.com/office/drawing/2014/chart" uri="{C3380CC4-5D6E-409C-BE32-E72D297353CC}">
              <c16:uniqueId val="{00000002-C304-4BF2-B1E1-E1199251E8DC}"/>
            </c:ext>
          </c:extLst>
        </c:ser>
        <c:dLbls>
          <c:showLegendKey val="0"/>
          <c:showVal val="0"/>
          <c:showCatName val="0"/>
          <c:showSerName val="0"/>
          <c:showPercent val="0"/>
          <c:showBubbleSize val="0"/>
        </c:dLbls>
        <c:smooth val="0"/>
        <c:axId val="458586464"/>
        <c:axId val="458587776"/>
        <c:extLst>
          <c:ext xmlns:c15="http://schemas.microsoft.com/office/drawing/2012/chart" uri="{02D57815-91ED-43cb-92C2-25804820EDAC}">
            <c15:filteredLineSeries>
              <c15:ser>
                <c:idx val="1"/>
                <c:order val="1"/>
                <c:tx>
                  <c:strRef>
                    <c:extLst>
                      <c:ext uri="{02D57815-91ED-43cb-92C2-25804820EDAC}">
                        <c15:formulaRef>
                          <c15:sqref>Income!$BK$1</c15:sqref>
                        </c15:formulaRef>
                      </c:ext>
                    </c:extLst>
                    <c:strCache>
                      <c:ptCount val="1"/>
                      <c:pt idx="0">
                        <c:v>Pubs Income+Grants (adjusted to 2010£)</c:v>
                      </c:pt>
                    </c:strCache>
                  </c:strRef>
                </c:tx>
                <c:spPr>
                  <a:ln w="28575" cap="rnd">
                    <a:solidFill>
                      <a:schemeClr val="accent2"/>
                    </a:solidFill>
                    <a:round/>
                  </a:ln>
                  <a:effectLst/>
                </c:spPr>
                <c:marker>
                  <c:symbol val="none"/>
                </c:marker>
                <c:cat>
                  <c:numRef>
                    <c:extLst>
                      <c:ext uri="{02D57815-91ED-43cb-92C2-25804820EDAC}">
                        <c15:formulaRef>
                          <c15:sqref>Income!$A$2:$A$132</c15:sqref>
                        </c15:formulaRef>
                      </c:ext>
                    </c:extLst>
                    <c:numCache>
                      <c:formatCode>General</c:formatCode>
                      <c:ptCount val="131"/>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numCache>
                  </c:numRef>
                </c:cat>
                <c:val>
                  <c:numRef>
                    <c:extLst>
                      <c:ext uri="{02D57815-91ED-43cb-92C2-25804820EDAC}">
                        <c15:formulaRef>
                          <c15:sqref>Income!$BK$2:$BK$132</c15:sqref>
                        </c15:formulaRef>
                      </c:ext>
                    </c:extLst>
                    <c:numCache>
                      <c:formatCode>General</c:formatCode>
                      <c:ptCount val="131"/>
                      <c:pt idx="20" formatCode="_-* #,##0_-;\-* #,##0_-;_-* &quot;-&quot;??_-;_-@_-">
                        <c:v>100953.58649789031</c:v>
                      </c:pt>
                      <c:pt idx="30" formatCode="_-* #,##0_-;\-* #,##0_-;_-* &quot;-&quot;??_-;_-@_-">
                        <c:v>140238.85350318468</c:v>
                      </c:pt>
                      <c:pt idx="35" formatCode="_-* #,##0_-;\-* #,##0_-;_-* &quot;-&quot;??_-;_-@_-">
                        <c:v>104084.375</c:v>
                      </c:pt>
                      <c:pt idx="37" formatCode="_-* #,##0_-;\-* #,##0_-;_-* &quot;-&quot;??_-;_-@_-">
                        <c:v>56830.565268065278</c:v>
                      </c:pt>
                      <c:pt idx="39" formatCode="_-* #,##0_-;\-* #,##0_-;_-* &quot;-&quot;??_-;_-@_-">
                        <c:v>57305.854241338115</c:v>
                      </c:pt>
                      <c:pt idx="40" formatCode="_-* #,##0_-;\-* #,##0_-;_-* &quot;-&quot;??_-;_-@_-">
                        <c:v>59088.345864661656</c:v>
                      </c:pt>
                      <c:pt idx="41" formatCode="_-* #,##0_-;\-* #,##0_-;_-* &quot;-&quot;??_-;_-@_-">
                        <c:v>107578.28719723181</c:v>
                      </c:pt>
                      <c:pt idx="43" formatCode="_-* #,##0_-;\-* #,##0_-;_-* &quot;-&quot;??_-;_-@_-">
                        <c:v>115510.82443653616</c:v>
                      </c:pt>
                      <c:pt idx="45" formatCode="_-* #,##0_-;\-* #,##0_-;_-* &quot;-&quot;??_-;_-@_-">
                        <c:v>170946.21144721235</c:v>
                      </c:pt>
                      <c:pt idx="47" formatCode="_-* #,##0_-;\-* #,##0_-;_-* &quot;-&quot;??_-;_-@_-">
                        <c:v>270261.09559279948</c:v>
                      </c:pt>
                      <c:pt idx="49" formatCode="_-* #,##0_-;\-* #,##0_-;_-* &quot;-&quot;??_-;_-@_-">
                        <c:v>341249.20973605185</c:v>
                      </c:pt>
                      <c:pt idx="50" formatCode="_-* #,##0_-;\-* #,##0_-;_-* &quot;-&quot;??_-;_-@_-">
                        <c:v>342347.75641025638</c:v>
                      </c:pt>
                      <c:pt idx="51" formatCode="_-* #,##0_-;\-* #,##0_-;_-* &quot;-&quot;??_-;_-@_-">
                        <c:v>486159.46829182119</c:v>
                      </c:pt>
                      <c:pt idx="52" formatCode="_-* #,##0_-;\-* #,##0_-;_-* &quot;-&quot;??_-;_-@_-">
                        <c:v>465141.67117848771</c:v>
                      </c:pt>
                      <c:pt idx="53" formatCode="_-* #,##0_-;\-* #,##0_-;_-* &quot;-&quot;??_-;_-@_-">
                        <c:v>484785.89885566628</c:v>
                      </c:pt>
                      <c:pt idx="54" formatCode="_-* #,##0_-;\-* #,##0_-;_-* &quot;-&quot;??_-;_-@_-">
                        <c:v>577278.28534514585</c:v>
                      </c:pt>
                      <c:pt idx="55" formatCode="_-* #,##0_-;\-* #,##0_-;_-* &quot;-&quot;??_-;_-@_-">
                        <c:v>566042.6818263852</c:v>
                      </c:pt>
                      <c:pt idx="56" formatCode="_-* #,##0_-;\-* #,##0_-;_-* &quot;-&quot;??_-;_-@_-">
                        <c:v>526295.48666313372</c:v>
                      </c:pt>
                      <c:pt idx="57" formatCode="_-* #,##0_-;\-* #,##0_-;_-* &quot;-&quot;??_-;_-@_-">
                        <c:v>486073.85505787609</c:v>
                      </c:pt>
                      <c:pt idx="58" formatCode="_-* #,##0_-;\-* #,##0_-;_-* &quot;-&quot;??_-;_-@_-">
                        <c:v>516679.53187250998</c:v>
                      </c:pt>
                      <c:pt idx="59" formatCode="_-* #,##0_-;\-* #,##0_-;_-* &quot;-&quot;??_-;_-@_-">
                        <c:v>359830.9558349452</c:v>
                      </c:pt>
                      <c:pt idx="60" formatCode="_-* #,##0_-;\-* #,##0_-;_-* &quot;-&quot;??_-;_-@_-">
                        <c:v>343002.37791027821</c:v>
                      </c:pt>
                      <c:pt idx="61" formatCode="_-* #,##0_-;\-* #,##0_-;_-* &quot;-&quot;??_-;_-@_-">
                        <c:v>209647.38637826702</c:v>
                      </c:pt>
                      <c:pt idx="62" formatCode="_-* #,##0_-;\-* #,##0_-;_-* &quot;-&quot;??_-;_-@_-">
                        <c:v>160578.42602689931</c:v>
                      </c:pt>
                      <c:pt idx="63" formatCode="_-* #,##0_-;\-* #,##0_-;_-* &quot;-&quot;??_-;_-@_-">
                        <c:v>135699.6083245645</c:v>
                      </c:pt>
                      <c:pt idx="64" formatCode="_-* #,##0_-;\-* #,##0_-;_-* &quot;-&quot;??_-;_-@_-">
                        <c:v>164546.11817244935</c:v>
                      </c:pt>
                      <c:pt idx="65" formatCode="_-* #,##0_-;\-* #,##0_-;_-* &quot;-&quot;??_-;_-@_-">
                        <c:v>147125.8274430607</c:v>
                      </c:pt>
                      <c:pt idx="66" formatCode="_-* #,##0_-;\-* #,##0_-;_-* &quot;-&quot;??_-;_-@_-">
                        <c:v>213840.31597109887</c:v>
                      </c:pt>
                      <c:pt idx="67" formatCode="_-* #,##0_-;\-* #,##0_-;_-* &quot;-&quot;??_-;_-@_-">
                        <c:v>267815.96480520797</c:v>
                      </c:pt>
                      <c:pt idx="68" formatCode="_-* #,##0_-;\-* #,##0_-;_-* &quot;-&quot;??_-;_-@_-">
                        <c:v>425299.20589903579</c:v>
                      </c:pt>
                      <c:pt idx="69" formatCode="_-* #,##0_-;\-* #,##0_-;_-* &quot;-&quot;??_-;_-@_-">
                        <c:v>565924.49710664083</c:v>
                      </c:pt>
                      <c:pt idx="70" formatCode="_-* #,##0_-;\-* #,##0_-;_-* &quot;-&quot;??_-;_-@_-">
                        <c:v>474216.99625868531</c:v>
                      </c:pt>
                      <c:pt idx="71" formatCode="_-* #,##0_-;\-* #,##0_-;_-* &quot;-&quot;??_-;_-@_-">
                        <c:v>627456.51641352288</c:v>
                      </c:pt>
                      <c:pt idx="72" formatCode="_-* #,##0_-;\-* #,##0_-;_-* &quot;-&quot;??_-;_-@_-">
                        <c:v>708480.13913824048</c:v>
                      </c:pt>
                      <c:pt idx="73" formatCode="_-* #,##0_-;\-* #,##0_-;_-* &quot;-&quot;??_-;_-@_-">
                        <c:v>662241.48882113828</c:v>
                      </c:pt>
                      <c:pt idx="74" formatCode="_-* #,##0_-;\-* #,##0_-;_-* &quot;-&quot;??_-;_-@_-">
                        <c:v>549561.44565449504</c:v>
                      </c:pt>
                      <c:pt idx="75" formatCode="_-* #,##0_-;\-* #,##0_-;_-* &quot;-&quot;??_-;_-@_-">
                        <c:v>1263852.0564763662</c:v>
                      </c:pt>
                      <c:pt idx="76" formatCode="_-* #,##0_-;\-* #,##0_-;_-* &quot;-&quot;??_-;_-@_-">
                        <c:v>1091214.3112062814</c:v>
                      </c:pt>
                      <c:pt idx="77" formatCode="_-* #,##0_-;\-* #,##0_-;_-* &quot;-&quot;??_-;_-@_-">
                        <c:v>1026729.4252225149</c:v>
                      </c:pt>
                    </c:numCache>
                  </c:numRef>
                </c:val>
                <c:smooth val="0"/>
                <c:extLst>
                  <c:ext xmlns:c16="http://schemas.microsoft.com/office/drawing/2014/chart" uri="{C3380CC4-5D6E-409C-BE32-E72D297353CC}">
                    <c16:uniqueId val="{00000001-C304-4BF2-B1E1-E1199251E8DC}"/>
                  </c:ext>
                </c:extLst>
              </c15:ser>
            </c15:filteredLineSeries>
          </c:ext>
        </c:extLst>
      </c:lineChart>
      <c:catAx>
        <c:axId val="45858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8587776"/>
        <c:crosses val="autoZero"/>
        <c:auto val="1"/>
        <c:lblAlgn val="ctr"/>
        <c:lblOffset val="100"/>
        <c:noMultiLvlLbl val="0"/>
      </c:catAx>
      <c:valAx>
        <c:axId val="45858777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85864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solidFill>
                  <a:sysClr val="windowText" lastClr="000000"/>
                </a:solidFill>
              </a:rPr>
              <a:t>Royal Society Publications Surplus</a:t>
            </a:r>
            <a:r>
              <a:rPr lang="en-GB" b="1" baseline="0">
                <a:solidFill>
                  <a:sysClr val="windowText" lastClr="000000"/>
                </a:solidFill>
              </a:rPr>
              <a:t> (Sales Income-Production Costs), 1920-1954 (unadjusted)</a:t>
            </a:r>
            <a:endParaRPr lang="en-GB"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Surplus_deficit!$C$1</c:f>
              <c:strCache>
                <c:ptCount val="1"/>
                <c:pt idx="0">
                  <c:v>Estimated RS surplus on Trans (net sales)</c:v>
                </c:pt>
              </c:strCache>
            </c:strRef>
          </c:tx>
          <c:spPr>
            <a:solidFill>
              <a:schemeClr val="accent1"/>
            </a:solidFill>
            <a:ln>
              <a:noFill/>
            </a:ln>
            <a:effectLst/>
          </c:spPr>
          <c:invertIfNegative val="0"/>
          <c:cat>
            <c:numRef>
              <c:f>Surplus_deficit!$A$42:$A$76</c:f>
              <c:numCache>
                <c:formatCode>General</c:formatCode>
                <c:ptCount val="35"/>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numCache>
            </c:numRef>
          </c:cat>
          <c:val>
            <c:numRef>
              <c:f>Surplus_deficit!$C$42:$C$76</c:f>
              <c:numCache>
                <c:formatCode>_(* #,##0.00_);_(* \(#,##0.00\);_(* "-"??_);_(@_)</c:formatCode>
                <c:ptCount val="35"/>
                <c:pt idx="0">
                  <c:v>-2277.665</c:v>
                </c:pt>
                <c:pt idx="1">
                  <c:v>-807.66958333333332</c:v>
                </c:pt>
                <c:pt idx="2">
                  <c:v>-762.10125000000005</c:v>
                </c:pt>
                <c:pt idx="3">
                  <c:v>-339.6724999999999</c:v>
                </c:pt>
                <c:pt idx="4">
                  <c:v>-686.21333333333325</c:v>
                </c:pt>
                <c:pt idx="5">
                  <c:v>-159.41458333333321</c:v>
                </c:pt>
                <c:pt idx="6">
                  <c:v>-1084.4837500000001</c:v>
                </c:pt>
                <c:pt idx="7">
                  <c:v>-891.00374999999985</c:v>
                </c:pt>
                <c:pt idx="8">
                  <c:v>-940.16124999999988</c:v>
                </c:pt>
                <c:pt idx="9">
                  <c:v>-716.12125000000003</c:v>
                </c:pt>
                <c:pt idx="10">
                  <c:v>-824.56333333333328</c:v>
                </c:pt>
                <c:pt idx="11">
                  <c:v>-307.83749999999986</c:v>
                </c:pt>
                <c:pt idx="12">
                  <c:v>-135.28791666666643</c:v>
                </c:pt>
                <c:pt idx="13">
                  <c:v>-444.83041666666668</c:v>
                </c:pt>
                <c:pt idx="14">
                  <c:v>-712.8404166666669</c:v>
                </c:pt>
                <c:pt idx="15">
                  <c:v>-460.46958333333305</c:v>
                </c:pt>
                <c:pt idx="16">
                  <c:v>-561.63499999999999</c:v>
                </c:pt>
                <c:pt idx="17">
                  <c:v>-485.20583333333343</c:v>
                </c:pt>
                <c:pt idx="18">
                  <c:v>-523.85499999999979</c:v>
                </c:pt>
                <c:pt idx="19">
                  <c:v>-561.93458333333342</c:v>
                </c:pt>
                <c:pt idx="20">
                  <c:v>-335.70000000000005</c:v>
                </c:pt>
                <c:pt idx="21">
                  <c:v>-75.866666666666674</c:v>
                </c:pt>
                <c:pt idx="22">
                  <c:v>-65.397499999999923</c:v>
                </c:pt>
                <c:pt idx="23">
                  <c:v>-144.79250000000002</c:v>
                </c:pt>
                <c:pt idx="24">
                  <c:v>-240.90875</c:v>
                </c:pt>
                <c:pt idx="25">
                  <c:v>-116.97708333333333</c:v>
                </c:pt>
                <c:pt idx="26">
                  <c:v>-283.94208333333324</c:v>
                </c:pt>
                <c:pt idx="27">
                  <c:v>-673.38625000000002</c:v>
                </c:pt>
                <c:pt idx="28">
                  <c:v>-109.27583333333314</c:v>
                </c:pt>
                <c:pt idx="29">
                  <c:v>621.05958333333319</c:v>
                </c:pt>
                <c:pt idx="30">
                  <c:v>-265.00374999999985</c:v>
                </c:pt>
                <c:pt idx="31">
                  <c:v>199.09875000000011</c:v>
                </c:pt>
                <c:pt idx="32">
                  <c:v>-871.74833333333299</c:v>
                </c:pt>
                <c:pt idx="33">
                  <c:v>394.15041666666639</c:v>
                </c:pt>
                <c:pt idx="34">
                  <c:v>-1863.7704166666667</c:v>
                </c:pt>
              </c:numCache>
            </c:numRef>
          </c:val>
          <c:extLst>
            <c:ext xmlns:c16="http://schemas.microsoft.com/office/drawing/2014/chart" uri="{C3380CC4-5D6E-409C-BE32-E72D297353CC}">
              <c16:uniqueId val="{00000000-D01E-40A9-9625-C56144668C7A}"/>
            </c:ext>
          </c:extLst>
        </c:ser>
        <c:ser>
          <c:idx val="1"/>
          <c:order val="1"/>
          <c:tx>
            <c:strRef>
              <c:f>Surplus_deficit!$E$1</c:f>
              <c:strCache>
                <c:ptCount val="1"/>
                <c:pt idx="0">
                  <c:v>Estimated RS surplus on Proc (net sales)</c:v>
                </c:pt>
              </c:strCache>
            </c:strRef>
          </c:tx>
          <c:spPr>
            <a:solidFill>
              <a:schemeClr val="accent2"/>
            </a:solidFill>
            <a:ln>
              <a:noFill/>
            </a:ln>
            <a:effectLst/>
          </c:spPr>
          <c:invertIfNegative val="0"/>
          <c:cat>
            <c:numRef>
              <c:f>Surplus_deficit!$A$42:$A$76</c:f>
              <c:numCache>
                <c:formatCode>General</c:formatCode>
                <c:ptCount val="35"/>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numCache>
            </c:numRef>
          </c:cat>
          <c:val>
            <c:numRef>
              <c:f>Surplus_deficit!$E$42:$E$76</c:f>
              <c:numCache>
                <c:formatCode>_(* #,##0.00_);_(* \(#,##0.00\);_(* "-"??_);_(@_)</c:formatCode>
                <c:ptCount val="35"/>
                <c:pt idx="0">
                  <c:v>-2331.9504166666666</c:v>
                </c:pt>
                <c:pt idx="1">
                  <c:v>-2159.8975</c:v>
                </c:pt>
                <c:pt idx="2">
                  <c:v>-2816.8454166666666</c:v>
                </c:pt>
                <c:pt idx="3">
                  <c:v>-3262.4658333333332</c:v>
                </c:pt>
                <c:pt idx="4">
                  <c:v>-2846.6891666666666</c:v>
                </c:pt>
                <c:pt idx="5">
                  <c:v>-4052.2750000000001</c:v>
                </c:pt>
                <c:pt idx="6">
                  <c:v>-3791.6725000000001</c:v>
                </c:pt>
                <c:pt idx="7">
                  <c:v>-4237.8508333333339</c:v>
                </c:pt>
                <c:pt idx="8">
                  <c:v>-4122.3991666666661</c:v>
                </c:pt>
                <c:pt idx="9">
                  <c:v>-4666.564166666667</c:v>
                </c:pt>
                <c:pt idx="10">
                  <c:v>-3480.1950000000002</c:v>
                </c:pt>
                <c:pt idx="11">
                  <c:v>-3003.7162500000004</c:v>
                </c:pt>
                <c:pt idx="12">
                  <c:v>-3019.335</c:v>
                </c:pt>
                <c:pt idx="13">
                  <c:v>-2918.6395833333336</c:v>
                </c:pt>
                <c:pt idx="14">
                  <c:v>-1404.1187499999996</c:v>
                </c:pt>
                <c:pt idx="15">
                  <c:v>-2917.0579166666676</c:v>
                </c:pt>
                <c:pt idx="16">
                  <c:v>-1805.1133333333328</c:v>
                </c:pt>
                <c:pt idx="17">
                  <c:v>-1689.8095833333336</c:v>
                </c:pt>
                <c:pt idx="18">
                  <c:v>173.74333333333379</c:v>
                </c:pt>
                <c:pt idx="19">
                  <c:v>-159.33708333333379</c:v>
                </c:pt>
                <c:pt idx="20">
                  <c:v>-239.48000000000047</c:v>
                </c:pt>
                <c:pt idx="21">
                  <c:v>-249.66458333333276</c:v>
                </c:pt>
                <c:pt idx="22">
                  <c:v>-1338.7683333333332</c:v>
                </c:pt>
                <c:pt idx="23">
                  <c:v>-469.57791666666662</c:v>
                </c:pt>
                <c:pt idx="24">
                  <c:v>-77.59708333333333</c:v>
                </c:pt>
                <c:pt idx="25">
                  <c:v>-791.44291666666686</c:v>
                </c:pt>
                <c:pt idx="26">
                  <c:v>-133.39249999999993</c:v>
                </c:pt>
                <c:pt idx="27">
                  <c:v>-1525.9854166666673</c:v>
                </c:pt>
                <c:pt idx="28">
                  <c:v>-251.32375000000047</c:v>
                </c:pt>
                <c:pt idx="29">
                  <c:v>3307.217083333333</c:v>
                </c:pt>
                <c:pt idx="30">
                  <c:v>1394.8375000000015</c:v>
                </c:pt>
                <c:pt idx="31">
                  <c:v>2602.3416666666672</c:v>
                </c:pt>
                <c:pt idx="32">
                  <c:v>763.42875000000276</c:v>
                </c:pt>
                <c:pt idx="33">
                  <c:v>-513.35124999999971</c:v>
                </c:pt>
                <c:pt idx="34">
                  <c:v>2081.6754166666651</c:v>
                </c:pt>
              </c:numCache>
            </c:numRef>
          </c:val>
          <c:extLst>
            <c:ext xmlns:c16="http://schemas.microsoft.com/office/drawing/2014/chart" uri="{C3380CC4-5D6E-409C-BE32-E72D297353CC}">
              <c16:uniqueId val="{00000001-D01E-40A9-9625-C56144668C7A}"/>
            </c:ext>
          </c:extLst>
        </c:ser>
        <c:ser>
          <c:idx val="2"/>
          <c:order val="2"/>
          <c:tx>
            <c:strRef>
              <c:f>Surplus_deficit!$F$1</c:f>
              <c:strCache>
                <c:ptCount val="1"/>
                <c:pt idx="0">
                  <c:v>Other Pubs surplus</c:v>
                </c:pt>
              </c:strCache>
            </c:strRef>
          </c:tx>
          <c:spPr>
            <a:solidFill>
              <a:schemeClr val="accent3"/>
            </a:solidFill>
            <a:ln>
              <a:noFill/>
            </a:ln>
            <a:effectLst/>
          </c:spPr>
          <c:invertIfNegative val="0"/>
          <c:cat>
            <c:numRef>
              <c:f>Surplus_deficit!$A$42:$A$76</c:f>
              <c:numCache>
                <c:formatCode>General</c:formatCode>
                <c:ptCount val="35"/>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numCache>
            </c:numRef>
          </c:cat>
          <c:val>
            <c:numRef>
              <c:f>Surplus_deficit!$F$42:$F$76</c:f>
              <c:numCache>
                <c:formatCode>_(* #,##0.00_);_(* \(#,##0.00\);_(* "-"??_);_(@_)</c:formatCode>
                <c:ptCount val="35"/>
                <c:pt idx="0">
                  <c:v>-177.68333333333334</c:v>
                </c:pt>
                <c:pt idx="1">
                  <c:v>-174.67083333333332</c:v>
                </c:pt>
                <c:pt idx="2">
                  <c:v>0</c:v>
                </c:pt>
                <c:pt idx="3">
                  <c:v>-116.62499999999999</c:v>
                </c:pt>
                <c:pt idx="4">
                  <c:v>0</c:v>
                </c:pt>
                <c:pt idx="5">
                  <c:v>-140.5</c:v>
                </c:pt>
                <c:pt idx="6">
                  <c:v>0</c:v>
                </c:pt>
                <c:pt idx="7">
                  <c:v>-138.19166666666666</c:v>
                </c:pt>
                <c:pt idx="8">
                  <c:v>0</c:v>
                </c:pt>
                <c:pt idx="9">
                  <c:v>0</c:v>
                </c:pt>
                <c:pt idx="10">
                  <c:v>-120.14583333333333</c:v>
                </c:pt>
                <c:pt idx="11">
                  <c:v>0</c:v>
                </c:pt>
                <c:pt idx="12">
                  <c:v>-119.59166666666667</c:v>
                </c:pt>
                <c:pt idx="13">
                  <c:v>0</c:v>
                </c:pt>
                <c:pt idx="14">
                  <c:v>-270.55416666666662</c:v>
                </c:pt>
                <c:pt idx="15">
                  <c:v>-445.24166666666667</c:v>
                </c:pt>
                <c:pt idx="16">
                  <c:v>-465.875</c:v>
                </c:pt>
                <c:pt idx="17">
                  <c:v>-266.17083333333335</c:v>
                </c:pt>
                <c:pt idx="18">
                  <c:v>-498.16666666666669</c:v>
                </c:pt>
                <c:pt idx="19">
                  <c:v>-481.22916666666669</c:v>
                </c:pt>
                <c:pt idx="20">
                  <c:v>-1653.6875</c:v>
                </c:pt>
                <c:pt idx="21">
                  <c:v>-458.25833333333333</c:v>
                </c:pt>
                <c:pt idx="22">
                  <c:v>-624.5958333333333</c:v>
                </c:pt>
                <c:pt idx="23">
                  <c:v>-522.42916666666667</c:v>
                </c:pt>
                <c:pt idx="24">
                  <c:v>-457.80416666666662</c:v>
                </c:pt>
                <c:pt idx="25">
                  <c:v>-711</c:v>
                </c:pt>
                <c:pt idx="26">
                  <c:v>-1055.9458333333332</c:v>
                </c:pt>
                <c:pt idx="27">
                  <c:v>-1098.9541666666667</c:v>
                </c:pt>
                <c:pt idx="28">
                  <c:v>-1190.1791666666668</c:v>
                </c:pt>
                <c:pt idx="29">
                  <c:v>-1402.5041666666668</c:v>
                </c:pt>
                <c:pt idx="30">
                  <c:v>-1629.2250000000001</c:v>
                </c:pt>
                <c:pt idx="31">
                  <c:v>-1663.5041666666666</c:v>
                </c:pt>
                <c:pt idx="32">
                  <c:v>-2479.9708333333333</c:v>
                </c:pt>
                <c:pt idx="33">
                  <c:v>-2152.0041666666671</c:v>
                </c:pt>
                <c:pt idx="34">
                  <c:v>-1458.3083333333334</c:v>
                </c:pt>
              </c:numCache>
            </c:numRef>
          </c:val>
          <c:extLst>
            <c:ext xmlns:c16="http://schemas.microsoft.com/office/drawing/2014/chart" uri="{C3380CC4-5D6E-409C-BE32-E72D297353CC}">
              <c16:uniqueId val="{00000002-D01E-40A9-9625-C56144668C7A}"/>
            </c:ext>
          </c:extLst>
        </c:ser>
        <c:dLbls>
          <c:showLegendKey val="0"/>
          <c:showVal val="0"/>
          <c:showCatName val="0"/>
          <c:showSerName val="0"/>
          <c:showPercent val="0"/>
          <c:showBubbleSize val="0"/>
        </c:dLbls>
        <c:gapWidth val="219"/>
        <c:overlap val="-27"/>
        <c:axId val="64279168"/>
        <c:axId val="64279728"/>
      </c:barChart>
      <c:catAx>
        <c:axId val="6427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79728"/>
        <c:crosses val="autoZero"/>
        <c:auto val="1"/>
        <c:lblAlgn val="ctr"/>
        <c:lblOffset val="100"/>
        <c:noMultiLvlLbl val="0"/>
      </c:catAx>
      <c:valAx>
        <c:axId val="6427972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7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solidFill>
                  <a:sysClr val="windowText" lastClr="000000"/>
                </a:solidFill>
              </a:rPr>
              <a:t>Royal Society Publications Division Surpluses (including admin/staff costs), 1920-1960 (unadjusted)</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0"/>
          <c:tx>
            <c:strRef>
              <c:f>Surplus_deficit!$H$1</c:f>
              <c:strCache>
                <c:ptCount val="1"/>
                <c:pt idx="0">
                  <c:v>Total Pubs surplus on sales-only</c:v>
                </c:pt>
              </c:strCache>
            </c:strRef>
          </c:tx>
          <c:spPr>
            <a:solidFill>
              <a:srgbClr val="FF5050"/>
            </a:solidFill>
            <a:ln>
              <a:noFill/>
            </a:ln>
            <a:effectLst/>
          </c:spPr>
          <c:invertIfNegative val="0"/>
          <c:cat>
            <c:numRef>
              <c:f>Surplus_deficit!$A$42:$A$82</c:f>
              <c:numCache>
                <c:formatCode>General</c:formatCode>
                <c:ptCount val="41"/>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numCache>
            </c:numRef>
          </c:cat>
          <c:val>
            <c:numRef>
              <c:f>Surplus_deficit!$H$42:$H$82</c:f>
              <c:numCache>
                <c:formatCode>_(* #,##0.00_);_(* \(#,##0.00\);_(* "-"??_);_(@_)</c:formatCode>
                <c:ptCount val="41"/>
                <c:pt idx="0">
                  <c:v>-4782.9375</c:v>
                </c:pt>
                <c:pt idx="1">
                  <c:v>-3086.7208333333338</c:v>
                </c:pt>
                <c:pt idx="2">
                  <c:v>-3539.1708333333336</c:v>
                </c:pt>
                <c:pt idx="3">
                  <c:v>-3703.5583333333343</c:v>
                </c:pt>
                <c:pt idx="4">
                  <c:v>-3513.0791666666669</c:v>
                </c:pt>
                <c:pt idx="5">
                  <c:v>-4332.7624999999989</c:v>
                </c:pt>
                <c:pt idx="6">
                  <c:v>-4866.1125000000011</c:v>
                </c:pt>
                <c:pt idx="7">
                  <c:v>-5244.9041666666662</c:v>
                </c:pt>
                <c:pt idx="8">
                  <c:v>-5031.2416666666659</c:v>
                </c:pt>
                <c:pt idx="9">
                  <c:v>-5356.7250000000004</c:v>
                </c:pt>
                <c:pt idx="10">
                  <c:v>-4402.3166666666657</c:v>
                </c:pt>
                <c:pt idx="11">
                  <c:v>-3297.3541666666661</c:v>
                </c:pt>
                <c:pt idx="12">
                  <c:v>-3268.9999999999991</c:v>
                </c:pt>
                <c:pt idx="13">
                  <c:v>-3349.3208333333332</c:v>
                </c:pt>
                <c:pt idx="14">
                  <c:v>-2363.2458333333334</c:v>
                </c:pt>
                <c:pt idx="15">
                  <c:v>-3803.0666666666675</c:v>
                </c:pt>
                <c:pt idx="16">
                  <c:v>-3397.3166666666648</c:v>
                </c:pt>
                <c:pt idx="17">
                  <c:v>-3317.5000000000009</c:v>
                </c:pt>
                <c:pt idx="18">
                  <c:v>-1993.8999999999996</c:v>
                </c:pt>
                <c:pt idx="19">
                  <c:v>-2267.4958333333334</c:v>
                </c:pt>
                <c:pt idx="20">
                  <c:v>-3485.2416666666677</c:v>
                </c:pt>
                <c:pt idx="21">
                  <c:v>-2126.2124999999992</c:v>
                </c:pt>
                <c:pt idx="22">
                  <c:v>-3344.8583333333331</c:v>
                </c:pt>
                <c:pt idx="23">
                  <c:v>-2595.1958333333332</c:v>
                </c:pt>
                <c:pt idx="24">
                  <c:v>-2168.8874999999998</c:v>
                </c:pt>
                <c:pt idx="25">
                  <c:v>-2197.7083333333339</c:v>
                </c:pt>
                <c:pt idx="26">
                  <c:v>-2516.5708333333341</c:v>
                </c:pt>
                <c:pt idx="27">
                  <c:v>-4885.2125000000015</c:v>
                </c:pt>
                <c:pt idx="28">
                  <c:v>-3264.5375000000004</c:v>
                </c:pt>
                <c:pt idx="29">
                  <c:v>300.23749999999927</c:v>
                </c:pt>
                <c:pt idx="30">
                  <c:v>-2891.6791666666613</c:v>
                </c:pt>
                <c:pt idx="31">
                  <c:v>-1469.8374999999978</c:v>
                </c:pt>
                <c:pt idx="32">
                  <c:v>-5521.3208333333314</c:v>
                </c:pt>
                <c:pt idx="33">
                  <c:v>-5693.5625000000036</c:v>
                </c:pt>
                <c:pt idx="34">
                  <c:v>-7036.7499999999964</c:v>
                </c:pt>
                <c:pt idx="35">
                  <c:v>16547.162500000006</c:v>
                </c:pt>
                <c:pt idx="36">
                  <c:v>25429.025000000005</c:v>
                </c:pt>
                <c:pt idx="37">
                  <c:v>16469.108333333337</c:v>
                </c:pt>
                <c:pt idx="38">
                  <c:v>22119.129166666666</c:v>
                </c:pt>
                <c:pt idx="39">
                  <c:v>17079.445833333331</c:v>
                </c:pt>
                <c:pt idx="40">
                  <c:v>8926.4166666666715</c:v>
                </c:pt>
              </c:numCache>
            </c:numRef>
          </c:val>
          <c:extLst>
            <c:ext xmlns:c16="http://schemas.microsoft.com/office/drawing/2014/chart" uri="{C3380CC4-5D6E-409C-BE32-E72D297353CC}">
              <c16:uniqueId val="{00000001-D55F-4DF2-8C49-CF87940974F7}"/>
            </c:ext>
          </c:extLst>
        </c:ser>
        <c:ser>
          <c:idx val="2"/>
          <c:order val="1"/>
          <c:tx>
            <c:strRef>
              <c:f>Surplus_deficit!$I$1</c:f>
              <c:strCache>
                <c:ptCount val="1"/>
                <c:pt idx="0">
                  <c:v>Total Pubs surplus (allowing grant income)</c:v>
                </c:pt>
              </c:strCache>
            </c:strRef>
          </c:tx>
          <c:spPr>
            <a:solidFill>
              <a:srgbClr val="C00000"/>
            </a:solidFill>
            <a:ln>
              <a:noFill/>
            </a:ln>
            <a:effectLst/>
          </c:spPr>
          <c:invertIfNegative val="0"/>
          <c:cat>
            <c:numRef>
              <c:f>Surplus_deficit!$A$42:$A$82</c:f>
              <c:numCache>
                <c:formatCode>General</c:formatCode>
                <c:ptCount val="41"/>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numCache>
            </c:numRef>
          </c:cat>
          <c:val>
            <c:numRef>
              <c:f>Surplus_deficit!$I$42:$I$82</c:f>
              <c:numCache>
                <c:formatCode>_(* #,##0.00_);_(* \(#,##0.00\);_(* "-"??_);_(@_)</c:formatCode>
                <c:ptCount val="41"/>
                <c:pt idx="0">
                  <c:v>-4247.9375</c:v>
                </c:pt>
                <c:pt idx="1">
                  <c:v>-1972.729166666667</c:v>
                </c:pt>
                <c:pt idx="2">
                  <c:v>-3539.1708333333336</c:v>
                </c:pt>
                <c:pt idx="3">
                  <c:v>-3115.8583333333345</c:v>
                </c:pt>
                <c:pt idx="4">
                  <c:v>-3513.0791666666669</c:v>
                </c:pt>
                <c:pt idx="5">
                  <c:v>-3857.3791666666657</c:v>
                </c:pt>
                <c:pt idx="6">
                  <c:v>-3516.1125000000011</c:v>
                </c:pt>
                <c:pt idx="7">
                  <c:v>-3036.0374999999995</c:v>
                </c:pt>
                <c:pt idx="8">
                  <c:v>-3226.2416666666659</c:v>
                </c:pt>
                <c:pt idx="9">
                  <c:v>-2892.6833333333338</c:v>
                </c:pt>
                <c:pt idx="10">
                  <c:v>-2462.3166666666657</c:v>
                </c:pt>
                <c:pt idx="11">
                  <c:v>-586.03333333333285</c:v>
                </c:pt>
                <c:pt idx="12">
                  <c:v>-950.037499999999</c:v>
                </c:pt>
                <c:pt idx="13">
                  <c:v>-1096.7041666666664</c:v>
                </c:pt>
                <c:pt idx="14">
                  <c:v>99.474999999999909</c:v>
                </c:pt>
                <c:pt idx="15">
                  <c:v>-1576.2708333333339</c:v>
                </c:pt>
                <c:pt idx="16">
                  <c:v>-1645.4291666666647</c:v>
                </c:pt>
                <c:pt idx="17">
                  <c:v>-1568.9291666666677</c:v>
                </c:pt>
                <c:pt idx="18">
                  <c:v>-110.64583333333303</c:v>
                </c:pt>
                <c:pt idx="19">
                  <c:v>-1268.9541666666667</c:v>
                </c:pt>
                <c:pt idx="20">
                  <c:v>-1368.1000000000013</c:v>
                </c:pt>
                <c:pt idx="21">
                  <c:v>-435.87083333333248</c:v>
                </c:pt>
                <c:pt idx="22">
                  <c:v>-1643.0333333333331</c:v>
                </c:pt>
                <c:pt idx="23">
                  <c:v>-71.508333333333212</c:v>
                </c:pt>
                <c:pt idx="24">
                  <c:v>380.16250000000036</c:v>
                </c:pt>
                <c:pt idx="25">
                  <c:v>255.60416666666606</c:v>
                </c:pt>
                <c:pt idx="26">
                  <c:v>-302.03750000000082</c:v>
                </c:pt>
                <c:pt idx="27">
                  <c:v>-2757.1666666666679</c:v>
                </c:pt>
                <c:pt idx="28">
                  <c:v>-493.94583333333367</c:v>
                </c:pt>
                <c:pt idx="29">
                  <c:v>3998.6666666666656</c:v>
                </c:pt>
                <c:pt idx="30">
                  <c:v>-1560.5249999999946</c:v>
                </c:pt>
                <c:pt idx="31">
                  <c:v>864.95833333333576</c:v>
                </c:pt>
                <c:pt idx="32">
                  <c:v>-3736.1958333333314</c:v>
                </c:pt>
                <c:pt idx="33">
                  <c:v>-419.95833333333667</c:v>
                </c:pt>
                <c:pt idx="34">
                  <c:v>-753.39999999999691</c:v>
                </c:pt>
                <c:pt idx="35">
                  <c:v>18125.433333333338</c:v>
                </c:pt>
                <c:pt idx="36">
                  <c:v>26929.025000000005</c:v>
                </c:pt>
                <c:pt idx="37">
                  <c:v>17969.108333333337</c:v>
                </c:pt>
              </c:numCache>
            </c:numRef>
          </c:val>
          <c:extLst>
            <c:ext xmlns:c16="http://schemas.microsoft.com/office/drawing/2014/chart" uri="{C3380CC4-5D6E-409C-BE32-E72D297353CC}">
              <c16:uniqueId val="{00000000-4117-4825-80FA-E2064F75694E}"/>
            </c:ext>
          </c:extLst>
        </c:ser>
        <c:dLbls>
          <c:showLegendKey val="0"/>
          <c:showVal val="0"/>
          <c:showCatName val="0"/>
          <c:showSerName val="0"/>
          <c:showPercent val="0"/>
          <c:showBubbleSize val="0"/>
        </c:dLbls>
        <c:gapWidth val="219"/>
        <c:overlap val="-27"/>
        <c:axId val="64283088"/>
        <c:axId val="64283648"/>
      </c:barChart>
      <c:catAx>
        <c:axId val="6428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83648"/>
        <c:crosses val="autoZero"/>
        <c:auto val="1"/>
        <c:lblAlgn val="ctr"/>
        <c:lblOffset val="100"/>
        <c:noMultiLvlLbl val="0"/>
      </c:catAx>
      <c:valAx>
        <c:axId val="6428364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83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solidFill>
                  <a:sysClr val="windowText" lastClr="000000"/>
                </a:solidFill>
              </a:rPr>
              <a:t>Royal Society Publications Surplus</a:t>
            </a:r>
            <a:r>
              <a:rPr lang="en-GB" b="1" baseline="0">
                <a:solidFill>
                  <a:sysClr val="windowText" lastClr="000000"/>
                </a:solidFill>
              </a:rPr>
              <a:t> (Sales Income-Production Costs), 1950-1980 (unadjusted)</a:t>
            </a:r>
            <a:endParaRPr lang="en-GB"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0"/>
          <c:tx>
            <c:strRef>
              <c:f>Surplus_deficit!$C$1</c:f>
              <c:strCache>
                <c:ptCount val="1"/>
                <c:pt idx="0">
                  <c:v>Estimated RS surplus on Trans (net sales)</c:v>
                </c:pt>
              </c:strCache>
            </c:strRef>
          </c:tx>
          <c:spPr>
            <a:solidFill>
              <a:schemeClr val="accent1"/>
            </a:solidFill>
            <a:ln>
              <a:noFill/>
            </a:ln>
            <a:effectLst/>
          </c:spPr>
          <c:invertIfNegative val="0"/>
          <c:cat>
            <c:numRef>
              <c:f>Surplus_deficit!$A$72:$A$102</c:f>
              <c:numCache>
                <c:formatCode>General</c:formatCode>
                <c:ptCount val="3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numCache>
            </c:numRef>
          </c:cat>
          <c:val>
            <c:numRef>
              <c:f>Surplus_deficit!$C$72:$C$102</c:f>
              <c:numCache>
                <c:formatCode>_(* #,##0.00_);_(* \(#,##0.00\);_(* "-"??_);_(@_)</c:formatCode>
                <c:ptCount val="31"/>
                <c:pt idx="0">
                  <c:v>-265.00374999999985</c:v>
                </c:pt>
                <c:pt idx="1">
                  <c:v>199.09875000000011</c:v>
                </c:pt>
                <c:pt idx="2">
                  <c:v>-871.74833333333299</c:v>
                </c:pt>
                <c:pt idx="3">
                  <c:v>394.15041666666639</c:v>
                </c:pt>
                <c:pt idx="4">
                  <c:v>-1863.7704166666667</c:v>
                </c:pt>
                <c:pt idx="5">
                  <c:v>5516.8583333333336</c:v>
                </c:pt>
                <c:pt idx="6">
                  <c:v>5795.1291666666675</c:v>
                </c:pt>
                <c:pt idx="7">
                  <c:v>4096.6083333333336</c:v>
                </c:pt>
                <c:pt idx="8">
                  <c:v>9019.3624999999993</c:v>
                </c:pt>
                <c:pt idx="9">
                  <c:v>4893.5624999999991</c:v>
                </c:pt>
                <c:pt idx="10">
                  <c:v>3987.4375</c:v>
                </c:pt>
                <c:pt idx="11">
                  <c:v>8199.3083333333343</c:v>
                </c:pt>
                <c:pt idx="12">
                  <c:v>5779.2875000000004</c:v>
                </c:pt>
                <c:pt idx="13">
                  <c:v>6448.5416666666679</c:v>
                </c:pt>
                <c:pt idx="14">
                  <c:v>0</c:v>
                </c:pt>
                <c:pt idx="15">
                  <c:v>0</c:v>
                </c:pt>
                <c:pt idx="16">
                  <c:v>25567.758333333335</c:v>
                </c:pt>
                <c:pt idx="17">
                  <c:v>21497</c:v>
                </c:pt>
                <c:pt idx="18">
                  <c:v>11825.329166666666</c:v>
                </c:pt>
                <c:pt idx="23">
                  <c:v>26550</c:v>
                </c:pt>
                <c:pt idx="24">
                  <c:v>40288.080000000002</c:v>
                </c:pt>
                <c:pt idx="26">
                  <c:v>64092</c:v>
                </c:pt>
                <c:pt idx="27">
                  <c:v>81486.34</c:v>
                </c:pt>
                <c:pt idx="29">
                  <c:v>72927</c:v>
                </c:pt>
                <c:pt idx="30">
                  <c:v>130919.21000000002</c:v>
                </c:pt>
              </c:numCache>
            </c:numRef>
          </c:val>
          <c:extLst>
            <c:ext xmlns:c16="http://schemas.microsoft.com/office/drawing/2014/chart" uri="{C3380CC4-5D6E-409C-BE32-E72D297353CC}">
              <c16:uniqueId val="{00000001-D01E-40A9-9625-C56144668C7A}"/>
            </c:ext>
          </c:extLst>
        </c:ser>
        <c:ser>
          <c:idx val="2"/>
          <c:order val="1"/>
          <c:tx>
            <c:strRef>
              <c:f>Surplus_deficit!$E$1</c:f>
              <c:strCache>
                <c:ptCount val="1"/>
                <c:pt idx="0">
                  <c:v>Estimated RS surplus on Proc (net sales)</c:v>
                </c:pt>
              </c:strCache>
            </c:strRef>
          </c:tx>
          <c:spPr>
            <a:solidFill>
              <a:schemeClr val="accent2"/>
            </a:solidFill>
            <a:ln>
              <a:noFill/>
            </a:ln>
            <a:effectLst/>
          </c:spPr>
          <c:invertIfNegative val="0"/>
          <c:cat>
            <c:numRef>
              <c:f>Surplus_deficit!$A$72:$A$102</c:f>
              <c:numCache>
                <c:formatCode>General</c:formatCode>
                <c:ptCount val="3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numCache>
            </c:numRef>
          </c:cat>
          <c:val>
            <c:numRef>
              <c:f>Surplus_deficit!$E$72:$E$102</c:f>
              <c:numCache>
                <c:formatCode>_(* #,##0.00_);_(* \(#,##0.00\);_(* "-"??_);_(@_)</c:formatCode>
                <c:ptCount val="31"/>
                <c:pt idx="0">
                  <c:v>1394.8375000000015</c:v>
                </c:pt>
                <c:pt idx="1">
                  <c:v>2602.3416666666672</c:v>
                </c:pt>
                <c:pt idx="2">
                  <c:v>763.42875000000276</c:v>
                </c:pt>
                <c:pt idx="3">
                  <c:v>-513.35124999999971</c:v>
                </c:pt>
                <c:pt idx="4">
                  <c:v>2081.6754166666651</c:v>
                </c:pt>
                <c:pt idx="5">
                  <c:v>22074.795833333337</c:v>
                </c:pt>
                <c:pt idx="6">
                  <c:v>23412.833333333332</c:v>
                </c:pt>
                <c:pt idx="7">
                  <c:v>17903.954166666666</c:v>
                </c:pt>
                <c:pt idx="8">
                  <c:v>21573.270833333332</c:v>
                </c:pt>
                <c:pt idx="9">
                  <c:v>19616.987499999999</c:v>
                </c:pt>
                <c:pt idx="10">
                  <c:v>16943.262500000001</c:v>
                </c:pt>
                <c:pt idx="11">
                  <c:v>25555.679166666669</c:v>
                </c:pt>
                <c:pt idx="12">
                  <c:v>20145.558333333334</c:v>
                </c:pt>
                <c:pt idx="13">
                  <c:v>25159.775000000001</c:v>
                </c:pt>
                <c:pt idx="14">
                  <c:v>0</c:v>
                </c:pt>
                <c:pt idx="15">
                  <c:v>0</c:v>
                </c:pt>
                <c:pt idx="16">
                  <c:v>32370.112500000003</c:v>
                </c:pt>
                <c:pt idx="17">
                  <c:v>41350</c:v>
                </c:pt>
                <c:pt idx="18">
                  <c:v>47136.64166666667</c:v>
                </c:pt>
                <c:pt idx="23">
                  <c:v>49432</c:v>
                </c:pt>
                <c:pt idx="24">
                  <c:v>97323.11</c:v>
                </c:pt>
                <c:pt idx="26">
                  <c:v>100027</c:v>
                </c:pt>
                <c:pt idx="27">
                  <c:v>142422.35999999999</c:v>
                </c:pt>
                <c:pt idx="29">
                  <c:v>126986</c:v>
                </c:pt>
                <c:pt idx="30">
                  <c:v>159689.95000000001</c:v>
                </c:pt>
              </c:numCache>
            </c:numRef>
          </c:val>
          <c:extLst>
            <c:ext xmlns:c16="http://schemas.microsoft.com/office/drawing/2014/chart" uri="{C3380CC4-5D6E-409C-BE32-E72D297353CC}">
              <c16:uniqueId val="{00000002-D01E-40A9-9625-C56144668C7A}"/>
            </c:ext>
          </c:extLst>
        </c:ser>
        <c:ser>
          <c:idx val="3"/>
          <c:order val="2"/>
          <c:tx>
            <c:strRef>
              <c:f>Surplus_deficit!$F$1</c:f>
              <c:strCache>
                <c:ptCount val="1"/>
                <c:pt idx="0">
                  <c:v>Other Pubs surplus</c:v>
                </c:pt>
              </c:strCache>
            </c:strRef>
          </c:tx>
          <c:spPr>
            <a:solidFill>
              <a:schemeClr val="bg2">
                <a:lumMod val="90000"/>
              </a:schemeClr>
            </a:solidFill>
            <a:ln>
              <a:solidFill>
                <a:schemeClr val="tx1">
                  <a:lumMod val="65000"/>
                  <a:lumOff val="35000"/>
                </a:schemeClr>
              </a:solidFill>
            </a:ln>
            <a:effectLst/>
          </c:spPr>
          <c:invertIfNegative val="0"/>
          <c:cat>
            <c:numRef>
              <c:f>Surplus_deficit!$A$72:$A$102</c:f>
              <c:numCache>
                <c:formatCode>General</c:formatCode>
                <c:ptCount val="3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numCache>
            </c:numRef>
          </c:cat>
          <c:val>
            <c:numRef>
              <c:f>Surplus_deficit!$F$72:$F$102</c:f>
              <c:numCache>
                <c:formatCode>_(* #,##0.00_);_(* \(#,##0.00\);_(* "-"??_);_(@_)</c:formatCode>
                <c:ptCount val="31"/>
                <c:pt idx="0">
                  <c:v>-1629.2250000000001</c:v>
                </c:pt>
                <c:pt idx="1">
                  <c:v>-1663.5041666666666</c:v>
                </c:pt>
                <c:pt idx="2">
                  <c:v>-2479.9708333333333</c:v>
                </c:pt>
                <c:pt idx="3">
                  <c:v>-2152.0041666666671</c:v>
                </c:pt>
                <c:pt idx="4">
                  <c:v>-1458.3083333333334</c:v>
                </c:pt>
                <c:pt idx="5">
                  <c:v>-217.5</c:v>
                </c:pt>
                <c:pt idx="6">
                  <c:v>-1430.375</c:v>
                </c:pt>
                <c:pt idx="7">
                  <c:v>-2736.8874999999998</c:v>
                </c:pt>
                <c:pt idx="8">
                  <c:v>-3814.5583333333334</c:v>
                </c:pt>
                <c:pt idx="9">
                  <c:v>-2972.2166666666662</c:v>
                </c:pt>
                <c:pt idx="10">
                  <c:v>-6111.8916666666646</c:v>
                </c:pt>
                <c:pt idx="11">
                  <c:v>-4785.729166666667</c:v>
                </c:pt>
                <c:pt idx="12">
                  <c:v>-4701.4291666666677</c:v>
                </c:pt>
                <c:pt idx="13">
                  <c:v>-1731.8916666666669</c:v>
                </c:pt>
                <c:pt idx="14">
                  <c:v>0</c:v>
                </c:pt>
                <c:pt idx="15">
                  <c:v>0</c:v>
                </c:pt>
                <c:pt idx="16">
                  <c:v>-4451.7083333333339</c:v>
                </c:pt>
                <c:pt idx="17">
                  <c:v>-543</c:v>
                </c:pt>
                <c:pt idx="18">
                  <c:v>6613.1291666666675</c:v>
                </c:pt>
                <c:pt idx="23">
                  <c:v>-17304</c:v>
                </c:pt>
                <c:pt idx="24">
                  <c:v>-18707.93</c:v>
                </c:pt>
                <c:pt idx="26">
                  <c:v>-9664</c:v>
                </c:pt>
                <c:pt idx="27">
                  <c:v>4372.7300000000032</c:v>
                </c:pt>
                <c:pt idx="29">
                  <c:v>-56044</c:v>
                </c:pt>
                <c:pt idx="30">
                  <c:v>-51837.88</c:v>
                </c:pt>
              </c:numCache>
            </c:numRef>
          </c:val>
          <c:extLst>
            <c:ext xmlns:c16="http://schemas.microsoft.com/office/drawing/2014/chart" uri="{C3380CC4-5D6E-409C-BE32-E72D297353CC}">
              <c16:uniqueId val="{00000000-9ED6-4ABD-BCE0-70613747587C}"/>
            </c:ext>
          </c:extLst>
        </c:ser>
        <c:dLbls>
          <c:showLegendKey val="0"/>
          <c:showVal val="0"/>
          <c:showCatName val="0"/>
          <c:showSerName val="0"/>
          <c:showPercent val="0"/>
          <c:showBubbleSize val="0"/>
        </c:dLbls>
        <c:gapWidth val="219"/>
        <c:overlap val="-27"/>
        <c:axId val="166180048"/>
        <c:axId val="166180608"/>
      </c:barChart>
      <c:catAx>
        <c:axId val="16618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180608"/>
        <c:crosses val="autoZero"/>
        <c:auto val="1"/>
        <c:lblAlgn val="ctr"/>
        <c:lblOffset val="100"/>
        <c:noMultiLvlLbl val="0"/>
      </c:catAx>
      <c:valAx>
        <c:axId val="16618060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180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 Id="rId9"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63</xdr:col>
      <xdr:colOff>213013</xdr:colOff>
      <xdr:row>41</xdr:row>
      <xdr:rowOff>62351</xdr:rowOff>
    </xdr:from>
    <xdr:to>
      <xdr:col>77</xdr:col>
      <xdr:colOff>191365</xdr:colOff>
      <xdr:row>69</xdr:row>
      <xdr:rowOff>71870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64</xdr:col>
      <xdr:colOff>33770</xdr:colOff>
      <xdr:row>76</xdr:row>
      <xdr:rowOff>23379</xdr:rowOff>
    </xdr:from>
    <xdr:to>
      <xdr:col>79</xdr:col>
      <xdr:colOff>284018</xdr:colOff>
      <xdr:row>102</xdr:row>
      <xdr:rowOff>133349</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78</xdr:col>
      <xdr:colOff>33337</xdr:colOff>
      <xdr:row>58</xdr:row>
      <xdr:rowOff>95250</xdr:rowOff>
    </xdr:from>
    <xdr:to>
      <xdr:col>91</xdr:col>
      <xdr:colOff>314325</xdr:colOff>
      <xdr:row>72</xdr:row>
      <xdr:rowOff>161924</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92</xdr:col>
      <xdr:colOff>9525</xdr:colOff>
      <xdr:row>43</xdr:row>
      <xdr:rowOff>19050</xdr:rowOff>
    </xdr:from>
    <xdr:to>
      <xdr:col>105</xdr:col>
      <xdr:colOff>290513</xdr:colOff>
      <xdr:row>72</xdr:row>
      <xdr:rowOff>123825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78</xdr:col>
      <xdr:colOff>66674</xdr:colOff>
      <xdr:row>76</xdr:row>
      <xdr:rowOff>395286</xdr:rowOff>
    </xdr:from>
    <xdr:to>
      <xdr:col>93</xdr:col>
      <xdr:colOff>590549</xdr:colOff>
      <xdr:row>101</xdr:row>
      <xdr:rowOff>161924</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1</xdr:row>
      <xdr:rowOff>64770</xdr:rowOff>
    </xdr:from>
    <xdr:to>
      <xdr:col>15</xdr:col>
      <xdr:colOff>373380</xdr:colOff>
      <xdr:row>21</xdr:row>
      <xdr:rowOff>129540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304805</xdr:colOff>
      <xdr:row>2</xdr:row>
      <xdr:rowOff>1</xdr:rowOff>
    </xdr:from>
    <xdr:to>
      <xdr:col>28</xdr:col>
      <xdr:colOff>466724</xdr:colOff>
      <xdr:row>47</xdr:row>
      <xdr:rowOff>152400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138112</xdr:colOff>
      <xdr:row>0</xdr:row>
      <xdr:rowOff>95255</xdr:rowOff>
    </xdr:from>
    <xdr:to>
      <xdr:col>47</xdr:col>
      <xdr:colOff>209550</xdr:colOff>
      <xdr:row>46</xdr:row>
      <xdr:rowOff>114300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12700</xdr:colOff>
      <xdr:row>56</xdr:row>
      <xdr:rowOff>92075</xdr:rowOff>
    </xdr:from>
    <xdr:to>
      <xdr:col>28</xdr:col>
      <xdr:colOff>422269</xdr:colOff>
      <xdr:row>88</xdr:row>
      <xdr:rowOff>117470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158750</xdr:colOff>
      <xdr:row>48</xdr:row>
      <xdr:rowOff>155575</xdr:rowOff>
    </xdr:from>
    <xdr:to>
      <xdr:col>47</xdr:col>
      <xdr:colOff>230188</xdr:colOff>
      <xdr:row>83</xdr:row>
      <xdr:rowOff>82544</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123825</xdr:colOff>
      <xdr:row>110</xdr:row>
      <xdr:rowOff>180975</xdr:rowOff>
    </xdr:from>
    <xdr:to>
      <xdr:col>47</xdr:col>
      <xdr:colOff>195263</xdr:colOff>
      <xdr:row>145</xdr:row>
      <xdr:rowOff>95244</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409575</xdr:colOff>
      <xdr:row>109</xdr:row>
      <xdr:rowOff>142875</xdr:rowOff>
    </xdr:from>
    <xdr:to>
      <xdr:col>27</xdr:col>
      <xdr:colOff>457201</xdr:colOff>
      <xdr:row>138</xdr:row>
      <xdr:rowOff>133350</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585786</xdr:colOff>
      <xdr:row>41</xdr:row>
      <xdr:rowOff>61911</xdr:rowOff>
    </xdr:from>
    <xdr:to>
      <xdr:col>66</xdr:col>
      <xdr:colOff>95249</xdr:colOff>
      <xdr:row>71</xdr:row>
      <xdr:rowOff>66674</xdr:rowOff>
    </xdr:to>
    <xdr:graphicFrame macro="">
      <xdr:nvGraphicFramePr>
        <xdr:cNvPr id="8" name="Chart 7">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49</xdr:col>
      <xdr:colOff>0</xdr:colOff>
      <xdr:row>2</xdr:row>
      <xdr:rowOff>0</xdr:rowOff>
    </xdr:from>
    <xdr:to>
      <xdr:col>70</xdr:col>
      <xdr:colOff>101600</xdr:colOff>
      <xdr:row>36</xdr:row>
      <xdr:rowOff>0</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71</xdr:col>
      <xdr:colOff>0</xdr:colOff>
      <xdr:row>2</xdr:row>
      <xdr:rowOff>0</xdr:rowOff>
    </xdr:from>
    <xdr:to>
      <xdr:col>92</xdr:col>
      <xdr:colOff>101600</xdr:colOff>
      <xdr:row>36</xdr:row>
      <xdr:rowOff>0</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tabSelected="1" workbookViewId="0">
      <selection activeCell="A2" sqref="A2:K2"/>
    </sheetView>
  </sheetViews>
  <sheetFormatPr defaultRowHeight="15" x14ac:dyDescent="0.25"/>
  <sheetData>
    <row r="1" spans="1:11" x14ac:dyDescent="0.25">
      <c r="A1" s="29" t="s">
        <v>213</v>
      </c>
    </row>
    <row r="2" spans="1:11" ht="39" customHeight="1" x14ac:dyDescent="0.25">
      <c r="A2" s="140" t="s">
        <v>244</v>
      </c>
      <c r="B2" s="140"/>
      <c r="C2" s="140"/>
      <c r="D2" s="140"/>
      <c r="E2" s="140"/>
      <c r="F2" s="140"/>
      <c r="G2" s="140"/>
      <c r="H2" s="140"/>
      <c r="I2" s="140"/>
      <c r="J2" s="140"/>
      <c r="K2" s="140"/>
    </row>
    <row r="3" spans="1:11" ht="75.75" customHeight="1" x14ac:dyDescent="0.25">
      <c r="A3" s="140" t="s">
        <v>209</v>
      </c>
      <c r="B3" s="140"/>
      <c r="C3" s="140"/>
      <c r="D3" s="140"/>
      <c r="E3" s="140"/>
      <c r="F3" s="140"/>
      <c r="G3" s="140"/>
      <c r="H3" s="140"/>
      <c r="I3" s="140"/>
      <c r="J3" s="140"/>
      <c r="K3" s="140"/>
    </row>
    <row r="4" spans="1:11" ht="50.45" customHeight="1" x14ac:dyDescent="0.25">
      <c r="A4" s="140" t="s">
        <v>245</v>
      </c>
      <c r="B4" s="140"/>
      <c r="C4" s="140"/>
      <c r="D4" s="140"/>
      <c r="E4" s="140"/>
      <c r="F4" s="140"/>
      <c r="G4" s="140"/>
      <c r="H4" s="140"/>
      <c r="I4" s="140"/>
      <c r="J4" s="140"/>
      <c r="K4" s="140"/>
    </row>
    <row r="6" spans="1:11" x14ac:dyDescent="0.25">
      <c r="A6" s="29" t="s">
        <v>210</v>
      </c>
    </row>
    <row r="7" spans="1:11" ht="108.75" customHeight="1" x14ac:dyDescent="0.25">
      <c r="A7" s="140" t="s">
        <v>240</v>
      </c>
      <c r="B7" s="140"/>
      <c r="C7" s="140"/>
      <c r="D7" s="140"/>
      <c r="E7" s="140"/>
      <c r="F7" s="140"/>
      <c r="G7" s="140"/>
      <c r="H7" s="140"/>
      <c r="I7" s="140"/>
      <c r="J7" s="140"/>
      <c r="K7" s="140"/>
    </row>
    <row r="8" spans="1:11" x14ac:dyDescent="0.25">
      <c r="A8" t="s">
        <v>211</v>
      </c>
    </row>
    <row r="9" spans="1:11" ht="64.150000000000006" customHeight="1" x14ac:dyDescent="0.25">
      <c r="A9" s="140" t="s">
        <v>241</v>
      </c>
      <c r="B9" s="140"/>
      <c r="C9" s="140"/>
      <c r="D9" s="140"/>
      <c r="E9" s="140"/>
      <c r="F9" s="140"/>
      <c r="G9" s="140"/>
      <c r="H9" s="140"/>
      <c r="I9" s="140"/>
      <c r="J9" s="140"/>
      <c r="K9" s="140"/>
    </row>
    <row r="10" spans="1:11" ht="13.9" customHeight="1" x14ac:dyDescent="0.25">
      <c r="A10" s="135"/>
      <c r="B10" s="135"/>
      <c r="C10" s="135"/>
      <c r="D10" s="135"/>
      <c r="E10" s="135"/>
      <c r="F10" s="135"/>
      <c r="G10" s="135"/>
      <c r="H10" s="135"/>
      <c r="I10" s="135"/>
      <c r="J10" s="135"/>
      <c r="K10" s="135"/>
    </row>
    <row r="11" spans="1:11" x14ac:dyDescent="0.25">
      <c r="A11" s="29" t="s">
        <v>212</v>
      </c>
    </row>
    <row r="12" spans="1:11" ht="75" customHeight="1" x14ac:dyDescent="0.25">
      <c r="A12" s="141" t="s">
        <v>215</v>
      </c>
      <c r="B12" s="141"/>
      <c r="C12" s="141"/>
      <c r="D12" s="141"/>
      <c r="E12" s="141"/>
      <c r="F12" s="141"/>
      <c r="G12" s="141"/>
      <c r="H12" s="141"/>
      <c r="I12" s="141"/>
      <c r="J12" s="141"/>
      <c r="K12" s="141"/>
    </row>
    <row r="13" spans="1:11" x14ac:dyDescent="0.25">
      <c r="A13" s="125"/>
      <c r="B13" s="125"/>
      <c r="C13" s="125"/>
      <c r="D13" s="125"/>
      <c r="E13" s="125"/>
      <c r="F13" s="125"/>
      <c r="G13" s="125"/>
      <c r="H13" s="125"/>
      <c r="I13" s="125"/>
      <c r="J13" s="125"/>
      <c r="K13" s="125"/>
    </row>
    <row r="14" spans="1:11" x14ac:dyDescent="0.25">
      <c r="A14" s="125"/>
      <c r="B14" s="125"/>
      <c r="C14" s="125"/>
      <c r="D14" s="125"/>
      <c r="E14" s="125"/>
      <c r="F14" s="125"/>
      <c r="G14" s="125"/>
      <c r="H14" s="125"/>
      <c r="I14" s="125"/>
      <c r="J14" s="125"/>
      <c r="K14" s="125"/>
    </row>
    <row r="15" spans="1:11" x14ac:dyDescent="0.25">
      <c r="A15" s="125"/>
      <c r="B15" s="125"/>
      <c r="C15" s="125"/>
      <c r="D15" s="125"/>
      <c r="E15" s="125"/>
      <c r="F15" s="125"/>
      <c r="G15" s="125"/>
      <c r="H15" s="125"/>
      <c r="I15" s="125"/>
      <c r="J15" s="125"/>
      <c r="K15" s="125"/>
    </row>
  </sheetData>
  <mergeCells count="6">
    <mergeCell ref="A2:K2"/>
    <mergeCell ref="A7:K7"/>
    <mergeCell ref="A9:K9"/>
    <mergeCell ref="A3:K3"/>
    <mergeCell ref="A4:K4"/>
    <mergeCell ref="A12:K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137"/>
  <sheetViews>
    <sheetView zoomScale="110" zoomScaleNormal="110" workbookViewId="0">
      <pane xSplit="1" ySplit="1" topLeftCell="AW113" activePane="bottomRight" state="frozen"/>
      <selection pane="topRight" activeCell="B1" sqref="B1"/>
      <selection pane="bottomLeft" activeCell="A2" sqref="A2"/>
      <selection pane="bottomRight" activeCell="I118" sqref="I118"/>
    </sheetView>
  </sheetViews>
  <sheetFormatPr defaultRowHeight="15" outlineLevelCol="1" x14ac:dyDescent="0.25"/>
  <cols>
    <col min="2" max="2" width="9.42578125" style="55" customWidth="1"/>
    <col min="3" max="3" width="5.28515625" style="55" customWidth="1"/>
    <col min="4" max="4" width="4.42578125" style="55" customWidth="1"/>
    <col min="5" max="5" width="14.140625" style="24" customWidth="1"/>
    <col min="6" max="6" width="8.28515625" style="55" customWidth="1"/>
    <col min="7" max="7" width="4.42578125" style="55" customWidth="1"/>
    <col min="8" max="8" width="6" style="55" customWidth="1"/>
    <col min="9" max="9" width="11.5703125" style="24" customWidth="1"/>
    <col min="10" max="10" width="6.140625" style="55" customWidth="1"/>
    <col min="11" max="11" width="3.85546875" style="55" customWidth="1"/>
    <col min="12" max="12" width="4.7109375" style="55" customWidth="1"/>
    <col min="13" max="13" width="11.7109375" style="24" customWidth="1"/>
    <col min="14" max="14" width="10.28515625" customWidth="1"/>
    <col min="15" max="15" width="4.85546875" customWidth="1"/>
    <col min="16" max="16" width="8.7109375" customWidth="1"/>
    <col min="17" max="17" width="14" customWidth="1"/>
    <col min="18" max="18" width="13.140625" customWidth="1"/>
    <col min="19" max="19" width="7.140625" customWidth="1"/>
    <col min="20" max="20" width="4.140625" customWidth="1"/>
    <col min="21" max="21" width="4.7109375" customWidth="1"/>
    <col min="22" max="23" width="13.140625" customWidth="1"/>
    <col min="24" max="24" width="6.5703125" customWidth="1"/>
    <col min="25" max="25" width="5" customWidth="1"/>
    <col min="26" max="26" width="5.42578125" customWidth="1"/>
    <col min="27" max="27" width="10.42578125" customWidth="1"/>
    <col min="28" max="28" width="5" hidden="1" customWidth="1" outlineLevel="1"/>
    <col min="29" max="29" width="3.140625" hidden="1" customWidth="1" outlineLevel="1"/>
    <col min="30" max="30" width="3.5703125" hidden="1" customWidth="1" outlineLevel="1"/>
    <col min="31" max="31" width="10.42578125" hidden="1" customWidth="1" outlineLevel="1"/>
    <col min="32" max="32" width="4" hidden="1" customWidth="1" outlineLevel="1"/>
    <col min="33" max="33" width="2.7109375" hidden="1" customWidth="1" outlineLevel="1"/>
    <col min="34" max="34" width="3.140625" hidden="1" customWidth="1" outlineLevel="1"/>
    <col min="35" max="35" width="9.140625" hidden="1" customWidth="1" outlineLevel="1"/>
    <col min="36" max="36" width="9.42578125" hidden="1" customWidth="1" outlineLevel="1"/>
    <col min="37" max="37" width="2.7109375" hidden="1" customWidth="1" outlineLevel="1"/>
    <col min="38" max="38" width="3.140625" hidden="1" customWidth="1" outlineLevel="1"/>
    <col min="39" max="39" width="13.140625" hidden="1" customWidth="1" outlineLevel="1"/>
    <col min="40" max="40" width="7.140625" customWidth="1" collapsed="1"/>
    <col min="41" max="41" width="5" customWidth="1"/>
    <col min="42" max="42" width="4" customWidth="1"/>
    <col min="43" max="43" width="13.140625" customWidth="1"/>
    <col min="44" max="44" width="15.28515625" customWidth="1"/>
    <col min="45" max="45" width="9.42578125" customWidth="1"/>
    <col min="46" max="46" width="5" customWidth="1"/>
    <col min="47" max="47" width="4.140625" customWidth="1"/>
    <col min="48" max="48" width="13.140625" customWidth="1"/>
    <col min="49" max="49" width="15.7109375" customWidth="1"/>
    <col min="50" max="50" width="19.85546875" customWidth="1"/>
    <col min="51" max="51" width="10.140625" customWidth="1" outlineLevel="1"/>
    <col min="52" max="52" width="8.5703125" customWidth="1" outlineLevel="1"/>
    <col min="53" max="53" width="6.42578125" style="55" customWidth="1" outlineLevel="1"/>
    <col min="54" max="54" width="3.7109375" style="55" customWidth="1" outlineLevel="1"/>
    <col min="55" max="55" width="3.28515625" style="55" customWidth="1" outlineLevel="1"/>
    <col min="56" max="56" width="10.28515625" customWidth="1" outlineLevel="1"/>
    <col min="57" max="57" width="5.42578125" customWidth="1" outlineLevel="1"/>
    <col min="58" max="58" width="3.140625" customWidth="1" outlineLevel="1"/>
    <col min="59" max="59" width="3.85546875" customWidth="1" outlineLevel="1"/>
    <col min="60" max="60" width="10.28515625" customWidth="1" outlineLevel="1"/>
    <col min="61" max="61" width="10.7109375" customWidth="1"/>
    <col min="62" max="62" width="16.7109375" customWidth="1"/>
    <col min="63" max="63" width="15.5703125" customWidth="1"/>
  </cols>
  <sheetData>
    <row r="1" spans="1:63" ht="42" customHeight="1" x14ac:dyDescent="0.25">
      <c r="A1" t="s">
        <v>0</v>
      </c>
      <c r="B1" s="52" t="s">
        <v>1</v>
      </c>
      <c r="C1" s="52" t="s">
        <v>2</v>
      </c>
      <c r="D1" s="52" t="s">
        <v>3</v>
      </c>
      <c r="E1" s="84" t="s">
        <v>142</v>
      </c>
      <c r="F1" s="56" t="s">
        <v>1</v>
      </c>
      <c r="G1" s="56" t="s">
        <v>2</v>
      </c>
      <c r="H1" s="56" t="s">
        <v>3</v>
      </c>
      <c r="I1" s="62" t="s">
        <v>70</v>
      </c>
      <c r="J1" s="57" t="s">
        <v>1</v>
      </c>
      <c r="K1" s="57" t="s">
        <v>2</v>
      </c>
      <c r="L1" s="57" t="s">
        <v>3</v>
      </c>
      <c r="M1" s="63" t="s">
        <v>71</v>
      </c>
      <c r="N1" s="3" t="s">
        <v>1</v>
      </c>
      <c r="O1" s="3" t="s">
        <v>2</v>
      </c>
      <c r="P1" s="3" t="s">
        <v>3</v>
      </c>
      <c r="Q1" s="3" t="s">
        <v>151</v>
      </c>
      <c r="R1" s="3" t="s">
        <v>152</v>
      </c>
      <c r="S1" s="1" t="s">
        <v>1</v>
      </c>
      <c r="T1" s="1" t="s">
        <v>2</v>
      </c>
      <c r="U1" s="1" t="s">
        <v>3</v>
      </c>
      <c r="V1" s="1" t="s">
        <v>15</v>
      </c>
      <c r="W1" s="85" t="s">
        <v>153</v>
      </c>
      <c r="X1" s="4" t="s">
        <v>1</v>
      </c>
      <c r="Y1" s="4" t="s">
        <v>2</v>
      </c>
      <c r="Z1" s="4" t="s">
        <v>3</v>
      </c>
      <c r="AA1" s="4" t="s">
        <v>135</v>
      </c>
      <c r="AB1" s="3" t="s">
        <v>1</v>
      </c>
      <c r="AC1" s="3" t="s">
        <v>2</v>
      </c>
      <c r="AD1" s="3" t="s">
        <v>3</v>
      </c>
      <c r="AE1" s="3" t="s">
        <v>29</v>
      </c>
      <c r="AF1" s="3" t="s">
        <v>1</v>
      </c>
      <c r="AG1" s="3" t="s">
        <v>2</v>
      </c>
      <c r="AH1" s="3" t="s">
        <v>3</v>
      </c>
      <c r="AI1" s="3" t="s">
        <v>30</v>
      </c>
      <c r="AJ1" s="3" t="s">
        <v>1</v>
      </c>
      <c r="AK1" s="3" t="s">
        <v>2</v>
      </c>
      <c r="AL1" s="3" t="s">
        <v>3</v>
      </c>
      <c r="AM1" s="3" t="s">
        <v>31</v>
      </c>
      <c r="AN1" s="2" t="s">
        <v>1</v>
      </c>
      <c r="AO1" s="2" t="s">
        <v>2</v>
      </c>
      <c r="AP1" s="2" t="s">
        <v>3</v>
      </c>
      <c r="AQ1" s="2" t="s">
        <v>60</v>
      </c>
      <c r="AR1" s="64" t="s">
        <v>112</v>
      </c>
      <c r="AS1" s="64" t="s">
        <v>1</v>
      </c>
      <c r="AT1" s="64" t="s">
        <v>2</v>
      </c>
      <c r="AU1" s="64" t="s">
        <v>3</v>
      </c>
      <c r="AV1" s="64" t="s">
        <v>113</v>
      </c>
      <c r="AW1" s="64" t="s">
        <v>214</v>
      </c>
      <c r="AX1" s="1" t="s">
        <v>8</v>
      </c>
      <c r="AY1" s="3" t="s">
        <v>68</v>
      </c>
      <c r="AZ1" s="3" t="s">
        <v>47</v>
      </c>
      <c r="BA1" s="52" t="s">
        <v>1</v>
      </c>
      <c r="BB1" s="52" t="s">
        <v>2</v>
      </c>
      <c r="BC1" s="52" t="s">
        <v>3</v>
      </c>
      <c r="BD1" s="3" t="s">
        <v>69</v>
      </c>
      <c r="BE1" s="3" t="s">
        <v>1</v>
      </c>
      <c r="BF1" s="3" t="s">
        <v>2</v>
      </c>
      <c r="BG1" s="3" t="s">
        <v>3</v>
      </c>
      <c r="BH1" s="3" t="s">
        <v>110</v>
      </c>
      <c r="BI1" s="3" t="s">
        <v>111</v>
      </c>
      <c r="BJ1" s="91" t="s">
        <v>224</v>
      </c>
      <c r="BK1" s="129" t="s">
        <v>223</v>
      </c>
    </row>
    <row r="2" spans="1:63" s="9" customFormat="1" ht="13.9" customHeight="1" x14ac:dyDescent="0.25">
      <c r="A2" s="9">
        <v>1880</v>
      </c>
      <c r="B2" s="92"/>
      <c r="C2" s="92"/>
      <c r="D2" s="92"/>
      <c r="E2" s="90"/>
      <c r="F2" s="92"/>
      <c r="G2" s="92"/>
      <c r="H2" s="92"/>
      <c r="I2" s="90"/>
      <c r="J2" s="92"/>
      <c r="K2" s="92"/>
      <c r="L2" s="92"/>
      <c r="M2" s="90"/>
      <c r="N2" s="1"/>
      <c r="O2" s="1"/>
      <c r="P2" s="95">
        <f>189498</f>
        <v>189498</v>
      </c>
      <c r="Q2" s="82">
        <f>P2/240</f>
        <v>789.57500000000005</v>
      </c>
      <c r="R2" s="102">
        <f t="shared" ref="R2:R19" si="0">Q2</f>
        <v>789.57500000000005</v>
      </c>
      <c r="S2" s="1"/>
      <c r="T2" s="1"/>
      <c r="U2" s="1"/>
      <c r="V2" s="1"/>
      <c r="W2" s="1"/>
      <c r="X2" s="1"/>
      <c r="Y2" s="1"/>
      <c r="Z2" s="1"/>
      <c r="AA2" s="1"/>
      <c r="AB2" s="1"/>
      <c r="AC2" s="1"/>
      <c r="AD2" s="1"/>
      <c r="AE2" s="1"/>
      <c r="AF2" s="1"/>
      <c r="AG2" s="1"/>
      <c r="AH2" s="1"/>
      <c r="AI2" s="1"/>
      <c r="AJ2" s="1"/>
      <c r="AK2" s="1"/>
      <c r="AL2" s="1"/>
      <c r="AM2" s="1"/>
      <c r="AN2" s="1"/>
      <c r="AO2" s="1"/>
      <c r="AP2" s="1"/>
      <c r="AQ2" s="1"/>
      <c r="AR2" s="38">
        <f t="shared" ref="AR2:AR20" si="1">R2+AQ2-V2+AA2</f>
        <v>789.57500000000005</v>
      </c>
      <c r="AS2" s="1"/>
      <c r="AT2" s="1"/>
      <c r="AU2" s="1"/>
      <c r="AV2" s="1"/>
      <c r="AW2" s="1"/>
      <c r="AX2" s="19" t="s">
        <v>174</v>
      </c>
      <c r="AY2" s="1"/>
      <c r="AZ2" s="1"/>
      <c r="BA2" s="92"/>
      <c r="BB2" s="92"/>
      <c r="BC2" s="92"/>
      <c r="BD2" s="1"/>
      <c r="BE2" s="1"/>
      <c r="BF2" s="1"/>
      <c r="BG2" s="1"/>
      <c r="BH2" s="1"/>
      <c r="BI2" s="1"/>
      <c r="BJ2" s="128">
        <f>AR2/'RPI_1880-2010'!B2*100</f>
        <v>61302.40683229814</v>
      </c>
    </row>
    <row r="3" spans="1:63" s="9" customFormat="1" ht="13.9" customHeight="1" x14ac:dyDescent="0.25">
      <c r="A3" s="9">
        <v>1881</v>
      </c>
      <c r="B3" s="92"/>
      <c r="C3" s="92"/>
      <c r="D3" s="92"/>
      <c r="E3" s="90"/>
      <c r="F3" s="92"/>
      <c r="G3" s="92"/>
      <c r="H3" s="92"/>
      <c r="I3" s="90"/>
      <c r="J3" s="92"/>
      <c r="K3" s="92"/>
      <c r="L3" s="92"/>
      <c r="M3" s="90"/>
      <c r="N3" s="1"/>
      <c r="O3" s="1"/>
      <c r="P3" s="95">
        <f>224960</f>
        <v>224960</v>
      </c>
      <c r="Q3" s="82">
        <f t="shared" ref="Q3:Q20" si="2">P3/240</f>
        <v>937.33333333333337</v>
      </c>
      <c r="R3" s="102">
        <f t="shared" si="0"/>
        <v>937.33333333333337</v>
      </c>
      <c r="S3" s="1"/>
      <c r="T3" s="1"/>
      <c r="U3" s="1"/>
      <c r="V3" s="1"/>
      <c r="W3" s="1"/>
      <c r="X3" s="1"/>
      <c r="Y3" s="1"/>
      <c r="Z3" s="1"/>
      <c r="AA3" s="1"/>
      <c r="AB3" s="1"/>
      <c r="AC3" s="1"/>
      <c r="AD3" s="1"/>
      <c r="AE3" s="1"/>
      <c r="AF3" s="1"/>
      <c r="AG3" s="1"/>
      <c r="AH3" s="1"/>
      <c r="AI3" s="1"/>
      <c r="AJ3" s="1"/>
      <c r="AK3" s="1"/>
      <c r="AL3" s="1"/>
      <c r="AM3" s="1"/>
      <c r="AN3" s="1"/>
      <c r="AO3" s="1"/>
      <c r="AP3" s="1"/>
      <c r="AQ3" s="1"/>
      <c r="AR3" s="38">
        <f t="shared" si="1"/>
        <v>937.33333333333337</v>
      </c>
      <c r="AS3" s="1"/>
      <c r="AT3" s="1"/>
      <c r="AU3" s="1"/>
      <c r="AV3" s="1"/>
      <c r="AW3" s="1"/>
      <c r="AX3" s="19" t="s">
        <v>175</v>
      </c>
      <c r="AY3" s="1"/>
      <c r="AZ3" s="1"/>
      <c r="BA3" s="92"/>
      <c r="BB3" s="92"/>
      <c r="BC3" s="92"/>
      <c r="BD3" s="1"/>
      <c r="BE3" s="1"/>
      <c r="BF3" s="1"/>
      <c r="BG3" s="1"/>
      <c r="BH3" s="1"/>
      <c r="BI3" s="1"/>
      <c r="BJ3" s="128">
        <f>AR3/'RPI_1880-2010'!B3*100</f>
        <v>73747.705218987685</v>
      </c>
    </row>
    <row r="4" spans="1:63" s="9" customFormat="1" ht="13.9" customHeight="1" x14ac:dyDescent="0.25">
      <c r="A4" s="9">
        <v>1882</v>
      </c>
      <c r="B4" s="92"/>
      <c r="C4" s="92"/>
      <c r="D4" s="92"/>
      <c r="E4" s="90"/>
      <c r="F4" s="92"/>
      <c r="G4" s="92"/>
      <c r="H4" s="92"/>
      <c r="I4" s="90"/>
      <c r="J4" s="92"/>
      <c r="K4" s="92"/>
      <c r="L4" s="92"/>
      <c r="M4" s="90"/>
      <c r="N4" s="1"/>
      <c r="O4" s="1"/>
      <c r="P4" s="95">
        <f>187998</f>
        <v>187998</v>
      </c>
      <c r="Q4" s="82">
        <f t="shared" si="2"/>
        <v>783.32500000000005</v>
      </c>
      <c r="R4" s="102">
        <f t="shared" si="0"/>
        <v>783.32500000000005</v>
      </c>
      <c r="S4" s="1"/>
      <c r="T4" s="1"/>
      <c r="U4" s="1"/>
      <c r="V4" s="1"/>
      <c r="W4" s="1"/>
      <c r="X4" s="1"/>
      <c r="Y4" s="1"/>
      <c r="Z4" s="1"/>
      <c r="AA4" s="1"/>
      <c r="AB4" s="1"/>
      <c r="AC4" s="1"/>
      <c r="AD4" s="1"/>
      <c r="AE4" s="1"/>
      <c r="AF4" s="1"/>
      <c r="AG4" s="1"/>
      <c r="AH4" s="1"/>
      <c r="AI4" s="1"/>
      <c r="AJ4" s="1"/>
      <c r="AK4" s="1"/>
      <c r="AL4" s="1"/>
      <c r="AM4" s="1"/>
      <c r="AN4" s="1"/>
      <c r="AO4" s="1"/>
      <c r="AP4" s="1"/>
      <c r="AQ4" s="1"/>
      <c r="AR4" s="38">
        <f t="shared" si="1"/>
        <v>783.32500000000005</v>
      </c>
      <c r="AS4" s="1"/>
      <c r="AT4" s="1"/>
      <c r="AU4" s="1"/>
      <c r="AV4" s="1"/>
      <c r="AW4" s="1"/>
      <c r="AX4" s="19" t="s">
        <v>175</v>
      </c>
      <c r="AY4" s="1"/>
      <c r="AZ4" s="1"/>
      <c r="BA4" s="92"/>
      <c r="BB4" s="92"/>
      <c r="BC4" s="92"/>
      <c r="BD4" s="1"/>
      <c r="BE4" s="1"/>
      <c r="BF4" s="1"/>
      <c r="BG4" s="1"/>
      <c r="BH4" s="1"/>
      <c r="BI4" s="1"/>
      <c r="BJ4" s="128">
        <f>AR4/'RPI_1880-2010'!B4*100</f>
        <v>61533.778476040854</v>
      </c>
    </row>
    <row r="5" spans="1:63" s="9" customFormat="1" ht="13.9" customHeight="1" x14ac:dyDescent="0.25">
      <c r="A5" s="9">
        <v>1883</v>
      </c>
      <c r="B5" s="92"/>
      <c r="C5" s="92"/>
      <c r="D5" s="92"/>
      <c r="E5" s="90"/>
      <c r="F5" s="92"/>
      <c r="G5" s="92"/>
      <c r="H5" s="92"/>
      <c r="I5" s="90"/>
      <c r="J5" s="92"/>
      <c r="K5" s="92"/>
      <c r="L5" s="92"/>
      <c r="M5" s="90"/>
      <c r="N5" s="1"/>
      <c r="O5" s="1"/>
      <c r="P5" s="95">
        <f>208426</f>
        <v>208426</v>
      </c>
      <c r="Q5" s="82">
        <f t="shared" si="2"/>
        <v>868.44166666666672</v>
      </c>
      <c r="R5" s="102">
        <f t="shared" si="0"/>
        <v>868.44166666666672</v>
      </c>
      <c r="S5" s="1"/>
      <c r="T5" s="1"/>
      <c r="U5" s="1"/>
      <c r="V5" s="1"/>
      <c r="W5" s="1"/>
      <c r="X5" s="1"/>
      <c r="Y5" s="1"/>
      <c r="Z5" s="1"/>
      <c r="AA5" s="1"/>
      <c r="AB5" s="1"/>
      <c r="AC5" s="1"/>
      <c r="AD5" s="1"/>
      <c r="AE5" s="1"/>
      <c r="AF5" s="1"/>
      <c r="AG5" s="1"/>
      <c r="AH5" s="1"/>
      <c r="AI5" s="1"/>
      <c r="AJ5" s="1"/>
      <c r="AK5" s="1"/>
      <c r="AL5" s="1"/>
      <c r="AM5" s="1"/>
      <c r="AN5" s="1"/>
      <c r="AO5" s="1"/>
      <c r="AP5" s="1"/>
      <c r="AQ5" s="1"/>
      <c r="AR5" s="38">
        <f t="shared" si="1"/>
        <v>868.44166666666672</v>
      </c>
      <c r="AS5" s="1"/>
      <c r="AT5" s="1"/>
      <c r="AU5" s="1"/>
      <c r="AV5" s="1"/>
      <c r="AW5" s="1"/>
      <c r="AX5" s="19" t="s">
        <v>175</v>
      </c>
      <c r="AY5" s="1"/>
      <c r="AZ5" s="1"/>
      <c r="BA5" s="92"/>
      <c r="BB5" s="92"/>
      <c r="BC5" s="92"/>
      <c r="BD5" s="1"/>
      <c r="BE5" s="1"/>
      <c r="BF5" s="1"/>
      <c r="BG5" s="1"/>
      <c r="BH5" s="1"/>
      <c r="BI5" s="1"/>
      <c r="BJ5" s="128">
        <f>AR5/'RPI_1880-2010'!B5*100</f>
        <v>68220.083791568482</v>
      </c>
    </row>
    <row r="6" spans="1:63" s="9" customFormat="1" ht="13.9" customHeight="1" x14ac:dyDescent="0.25">
      <c r="A6" s="9">
        <v>1884</v>
      </c>
      <c r="B6" s="92"/>
      <c r="C6" s="92"/>
      <c r="D6" s="92"/>
      <c r="E6" s="90"/>
      <c r="F6" s="92"/>
      <c r="G6" s="92"/>
      <c r="H6" s="92"/>
      <c r="I6" s="90"/>
      <c r="J6" s="92"/>
      <c r="K6" s="92"/>
      <c r="L6" s="92"/>
      <c r="M6" s="90"/>
      <c r="N6" s="1"/>
      <c r="O6" s="1"/>
      <c r="P6" s="95">
        <f>195790</f>
        <v>195790</v>
      </c>
      <c r="Q6" s="82">
        <f t="shared" si="2"/>
        <v>815.79166666666663</v>
      </c>
      <c r="R6" s="102">
        <f t="shared" si="0"/>
        <v>815.79166666666663</v>
      </c>
      <c r="S6" s="1"/>
      <c r="T6" s="1"/>
      <c r="U6" s="1"/>
      <c r="V6" s="1"/>
      <c r="W6" s="1"/>
      <c r="X6" s="1"/>
      <c r="Y6" s="1"/>
      <c r="Z6" s="1"/>
      <c r="AA6" s="1"/>
      <c r="AB6" s="1"/>
      <c r="AC6" s="1"/>
      <c r="AD6" s="1"/>
      <c r="AE6" s="1"/>
      <c r="AF6" s="1"/>
      <c r="AG6" s="1"/>
      <c r="AH6" s="1"/>
      <c r="AI6" s="1"/>
      <c r="AJ6" s="1"/>
      <c r="AK6" s="1"/>
      <c r="AL6" s="1"/>
      <c r="AM6" s="1"/>
      <c r="AN6" s="1"/>
      <c r="AO6" s="1"/>
      <c r="AP6" s="1"/>
      <c r="AQ6" s="1"/>
      <c r="AR6" s="38">
        <f t="shared" si="1"/>
        <v>815.79166666666663</v>
      </c>
      <c r="AS6" s="1"/>
      <c r="AT6" s="1"/>
      <c r="AU6" s="1"/>
      <c r="AV6" s="1"/>
      <c r="AW6" s="1"/>
      <c r="AX6" s="19" t="s">
        <v>175</v>
      </c>
      <c r="AY6" s="1"/>
      <c r="AZ6" s="1"/>
      <c r="BA6" s="92"/>
      <c r="BB6" s="92"/>
      <c r="BC6" s="92"/>
      <c r="BD6" s="1"/>
      <c r="BE6" s="1"/>
      <c r="BF6" s="1"/>
      <c r="BG6" s="1"/>
      <c r="BH6" s="1"/>
      <c r="BI6" s="1"/>
      <c r="BJ6" s="128">
        <f>AR6/'RPI_1880-2010'!B6*100</f>
        <v>66324.525745257444</v>
      </c>
    </row>
    <row r="7" spans="1:63" s="9" customFormat="1" ht="13.9" customHeight="1" x14ac:dyDescent="0.25">
      <c r="A7" s="9">
        <v>1885</v>
      </c>
      <c r="B7" s="92"/>
      <c r="C7" s="92"/>
      <c r="D7" s="92"/>
      <c r="E7" s="90"/>
      <c r="F7" s="92"/>
      <c r="G7" s="92"/>
      <c r="H7" s="92"/>
      <c r="I7" s="90"/>
      <c r="J7" s="92"/>
      <c r="K7" s="92"/>
      <c r="L7" s="92"/>
      <c r="M7" s="90"/>
      <c r="N7" s="1"/>
      <c r="O7" s="1"/>
      <c r="P7" s="95">
        <f>28763</f>
        <v>28763</v>
      </c>
      <c r="Q7" s="82">
        <f t="shared" si="2"/>
        <v>119.84583333333333</v>
      </c>
      <c r="R7" s="102">
        <f t="shared" si="0"/>
        <v>119.84583333333333</v>
      </c>
      <c r="S7" s="1"/>
      <c r="T7" s="1"/>
      <c r="U7" s="1"/>
      <c r="V7" s="1"/>
      <c r="W7" s="1"/>
      <c r="X7" s="1"/>
      <c r="Y7" s="1"/>
      <c r="Z7" s="1"/>
      <c r="AA7" s="1"/>
      <c r="AB7" s="1"/>
      <c r="AC7" s="1"/>
      <c r="AD7" s="1"/>
      <c r="AE7" s="1"/>
      <c r="AF7" s="1"/>
      <c r="AG7" s="1"/>
      <c r="AH7" s="1"/>
      <c r="AI7" s="1"/>
      <c r="AJ7" s="1"/>
      <c r="AK7" s="1"/>
      <c r="AL7" s="1"/>
      <c r="AM7" s="1"/>
      <c r="AN7" s="1"/>
      <c r="AO7" s="1"/>
      <c r="AP7" s="1"/>
      <c r="AQ7" s="1"/>
      <c r="AR7" s="86">
        <f t="shared" si="1"/>
        <v>119.84583333333333</v>
      </c>
      <c r="AS7" s="1"/>
      <c r="AT7" s="1"/>
      <c r="AU7" s="1"/>
      <c r="AV7" s="1"/>
      <c r="AW7" s="1"/>
      <c r="AX7" s="19" t="s">
        <v>225</v>
      </c>
      <c r="AY7" s="1"/>
      <c r="AZ7" s="1"/>
      <c r="BA7" s="92"/>
      <c r="BB7" s="92"/>
      <c r="BC7" s="92"/>
      <c r="BD7" s="1"/>
      <c r="BE7" s="1"/>
      <c r="BF7" s="1"/>
      <c r="BG7" s="1"/>
      <c r="BH7" s="1"/>
      <c r="BI7" s="1"/>
      <c r="BJ7" s="128">
        <f>AR7/'RPI_1880-2010'!B7*100</f>
        <v>10096.531873069362</v>
      </c>
    </row>
    <row r="8" spans="1:63" s="9" customFormat="1" ht="13.9" customHeight="1" x14ac:dyDescent="0.25">
      <c r="A8" s="9">
        <v>1886</v>
      </c>
      <c r="B8" s="92"/>
      <c r="C8" s="92"/>
      <c r="D8" s="92"/>
      <c r="E8" s="90"/>
      <c r="F8" s="92"/>
      <c r="G8" s="92"/>
      <c r="H8" s="92"/>
      <c r="I8" s="90"/>
      <c r="J8" s="92"/>
      <c r="K8" s="92"/>
      <c r="L8" s="92"/>
      <c r="M8" s="90"/>
      <c r="N8" s="1"/>
      <c r="O8" s="1"/>
      <c r="P8" s="95">
        <f>292397</f>
        <v>292397</v>
      </c>
      <c r="Q8" s="82">
        <f t="shared" si="2"/>
        <v>1218.3208333333334</v>
      </c>
      <c r="R8" s="102">
        <f t="shared" si="0"/>
        <v>1218.3208333333334</v>
      </c>
      <c r="S8" s="1"/>
      <c r="T8" s="1"/>
      <c r="U8" s="1"/>
      <c r="V8" s="1"/>
      <c r="W8" s="1"/>
      <c r="X8" s="1"/>
      <c r="Y8" s="1"/>
      <c r="Z8" s="1"/>
      <c r="AA8" s="1"/>
      <c r="AB8" s="1"/>
      <c r="AC8" s="1"/>
      <c r="AD8" s="1"/>
      <c r="AE8" s="1"/>
      <c r="AF8" s="1"/>
      <c r="AG8" s="1"/>
      <c r="AH8" s="1"/>
      <c r="AI8" s="1"/>
      <c r="AJ8" s="1"/>
      <c r="AK8" s="1"/>
      <c r="AL8" s="1"/>
      <c r="AM8" s="1"/>
      <c r="AN8" s="1"/>
      <c r="AO8" s="1"/>
      <c r="AP8" s="1"/>
      <c r="AQ8" s="1"/>
      <c r="AR8" s="38">
        <f t="shared" si="1"/>
        <v>1218.3208333333334</v>
      </c>
      <c r="AS8" s="1"/>
      <c r="AT8" s="1"/>
      <c r="AU8" s="1"/>
      <c r="AV8" s="1"/>
      <c r="AW8" s="1"/>
      <c r="AX8" s="19" t="s">
        <v>175</v>
      </c>
      <c r="AY8" s="1"/>
      <c r="AZ8" s="1"/>
      <c r="BA8" s="92"/>
      <c r="BB8" s="92"/>
      <c r="BC8" s="92"/>
      <c r="BD8" s="1"/>
      <c r="BE8" s="1"/>
      <c r="BF8" s="1"/>
      <c r="BG8" s="1"/>
      <c r="BH8" s="1"/>
      <c r="BI8" s="1"/>
      <c r="BJ8" s="128">
        <f>AR8/'RPI_1880-2010'!B8*100</f>
        <v>103510.69102237327</v>
      </c>
    </row>
    <row r="9" spans="1:63" s="9" customFormat="1" ht="13.9" customHeight="1" x14ac:dyDescent="0.25">
      <c r="A9" s="9">
        <v>1887</v>
      </c>
      <c r="B9" s="92"/>
      <c r="C9" s="92"/>
      <c r="D9" s="92"/>
      <c r="E9" s="90"/>
      <c r="F9" s="92"/>
      <c r="G9" s="92"/>
      <c r="H9" s="92"/>
      <c r="I9" s="90"/>
      <c r="J9" s="92"/>
      <c r="K9" s="92"/>
      <c r="L9" s="92"/>
      <c r="M9" s="90"/>
      <c r="N9" s="1"/>
      <c r="O9" s="1"/>
      <c r="P9" s="95">
        <f>180105</f>
        <v>180105</v>
      </c>
      <c r="Q9" s="82">
        <f t="shared" si="2"/>
        <v>750.4375</v>
      </c>
      <c r="R9" s="102">
        <f t="shared" si="0"/>
        <v>750.4375</v>
      </c>
      <c r="S9" s="1"/>
      <c r="T9" s="1"/>
      <c r="U9" s="1"/>
      <c r="V9" s="1"/>
      <c r="W9" s="1"/>
      <c r="X9" s="1"/>
      <c r="Y9" s="1"/>
      <c r="Z9" s="1"/>
      <c r="AA9" s="1"/>
      <c r="AB9" s="1"/>
      <c r="AC9" s="1"/>
      <c r="AD9" s="1"/>
      <c r="AE9" s="1"/>
      <c r="AF9" s="1"/>
      <c r="AG9" s="1"/>
      <c r="AH9" s="1"/>
      <c r="AI9" s="1"/>
      <c r="AJ9" s="1"/>
      <c r="AK9" s="1"/>
      <c r="AL9" s="1"/>
      <c r="AM9" s="1"/>
      <c r="AN9" s="1"/>
      <c r="AO9" s="1"/>
      <c r="AP9" s="1"/>
      <c r="AQ9" s="1"/>
      <c r="AR9" s="38">
        <f t="shared" si="1"/>
        <v>750.4375</v>
      </c>
      <c r="AS9" s="1"/>
      <c r="AT9" s="1"/>
      <c r="AU9" s="1"/>
      <c r="AV9" s="1"/>
      <c r="AW9" s="1"/>
      <c r="AX9" s="19" t="s">
        <v>175</v>
      </c>
      <c r="AY9" s="1"/>
      <c r="AZ9" s="1"/>
      <c r="BA9" s="92"/>
      <c r="BB9" s="92"/>
      <c r="BC9" s="92"/>
      <c r="BD9" s="1"/>
      <c r="BE9" s="1"/>
      <c r="BF9" s="1"/>
      <c r="BG9" s="1"/>
      <c r="BH9" s="1"/>
      <c r="BI9" s="1"/>
      <c r="BJ9" s="128">
        <f>AR9/'RPI_1880-2010'!B9*100</f>
        <v>65085.646140503035</v>
      </c>
    </row>
    <row r="10" spans="1:63" s="9" customFormat="1" ht="13.9" customHeight="1" x14ac:dyDescent="0.25">
      <c r="A10" s="9">
        <v>1888</v>
      </c>
      <c r="B10" s="92"/>
      <c r="C10" s="92"/>
      <c r="D10" s="92"/>
      <c r="E10" s="90"/>
      <c r="F10" s="92"/>
      <c r="G10" s="92"/>
      <c r="H10" s="92"/>
      <c r="I10" s="90"/>
      <c r="J10" s="92"/>
      <c r="K10" s="92"/>
      <c r="L10" s="92"/>
      <c r="M10" s="90"/>
      <c r="N10" s="1"/>
      <c r="O10" s="1"/>
      <c r="P10" s="95">
        <f>142637</f>
        <v>142637</v>
      </c>
      <c r="Q10" s="82">
        <f t="shared" si="2"/>
        <v>594.32083333333333</v>
      </c>
      <c r="R10" s="102">
        <f t="shared" si="0"/>
        <v>594.32083333333333</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38">
        <f t="shared" si="1"/>
        <v>594.32083333333333</v>
      </c>
      <c r="AS10" s="1"/>
      <c r="AT10" s="1"/>
      <c r="AU10" s="1"/>
      <c r="AV10" s="1"/>
      <c r="AW10" s="1"/>
      <c r="AX10" s="19" t="s">
        <v>175</v>
      </c>
      <c r="AY10" s="1"/>
      <c r="AZ10" s="1"/>
      <c r="BA10" s="92"/>
      <c r="BB10" s="92"/>
      <c r="BC10" s="92"/>
      <c r="BD10" s="1"/>
      <c r="BE10" s="1"/>
      <c r="BF10" s="1"/>
      <c r="BG10" s="1"/>
      <c r="BH10" s="1"/>
      <c r="BI10" s="1"/>
      <c r="BJ10" s="128">
        <f>AR10/'RPI_1880-2010'!B10*100</f>
        <v>51635.172313929914</v>
      </c>
    </row>
    <row r="11" spans="1:63" s="9" customFormat="1" ht="13.9" customHeight="1" x14ac:dyDescent="0.25">
      <c r="A11" s="9">
        <v>1889</v>
      </c>
      <c r="B11" s="92"/>
      <c r="C11" s="92"/>
      <c r="D11" s="92"/>
      <c r="E11" s="90"/>
      <c r="F11" s="92"/>
      <c r="G11" s="92"/>
      <c r="H11" s="92"/>
      <c r="I11" s="90"/>
      <c r="J11" s="92"/>
      <c r="K11" s="92"/>
      <c r="L11" s="92"/>
      <c r="M11" s="90"/>
      <c r="N11" s="1"/>
      <c r="O11" s="1"/>
      <c r="P11" s="95">
        <f>162618</f>
        <v>162618</v>
      </c>
      <c r="Q11" s="82">
        <f t="shared" si="2"/>
        <v>677.57500000000005</v>
      </c>
      <c r="R11" s="102">
        <f t="shared" si="0"/>
        <v>677.57500000000005</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38">
        <f t="shared" si="1"/>
        <v>677.57500000000005</v>
      </c>
      <c r="AS11" s="1"/>
      <c r="AT11" s="1"/>
      <c r="AU11" s="1"/>
      <c r="AV11" s="1"/>
      <c r="AW11" s="1"/>
      <c r="AX11" s="19" t="s">
        <v>175</v>
      </c>
      <c r="AY11" s="1"/>
      <c r="AZ11" s="1"/>
      <c r="BA11" s="92"/>
      <c r="BB11" s="92"/>
      <c r="BC11" s="92"/>
      <c r="BD11" s="1"/>
      <c r="BE11" s="1"/>
      <c r="BF11" s="1"/>
      <c r="BG11" s="1"/>
      <c r="BH11" s="1"/>
      <c r="BI11" s="1"/>
      <c r="BJ11" s="128">
        <f>AR11/'RPI_1880-2010'!B11*100</f>
        <v>58411.637931034486</v>
      </c>
    </row>
    <row r="12" spans="1:63" s="9" customFormat="1" ht="13.9" customHeight="1" x14ac:dyDescent="0.25">
      <c r="A12" s="9">
        <v>1890</v>
      </c>
      <c r="B12" s="92"/>
      <c r="C12" s="92"/>
      <c r="D12" s="92"/>
      <c r="E12" s="90"/>
      <c r="F12" s="92"/>
      <c r="G12" s="92"/>
      <c r="H12" s="92"/>
      <c r="I12" s="90"/>
      <c r="J12" s="92"/>
      <c r="K12" s="92"/>
      <c r="L12" s="92"/>
      <c r="M12" s="90"/>
      <c r="N12" s="1"/>
      <c r="O12" s="1"/>
      <c r="P12" s="95">
        <f>156942</f>
        <v>156942</v>
      </c>
      <c r="Q12" s="82">
        <f t="shared" si="2"/>
        <v>653.92499999999995</v>
      </c>
      <c r="R12" s="102">
        <f t="shared" si="0"/>
        <v>653.92499999999995</v>
      </c>
      <c r="S12" s="1"/>
      <c r="T12" s="1"/>
      <c r="U12" s="1"/>
      <c r="V12" s="1"/>
      <c r="W12" s="1"/>
      <c r="X12" s="1"/>
      <c r="Y12" s="1"/>
      <c r="Z12" s="1"/>
      <c r="AA12" s="1"/>
      <c r="AB12" s="1"/>
      <c r="AC12" s="1"/>
      <c r="AD12" s="1"/>
      <c r="AE12" s="1"/>
      <c r="AF12" s="1"/>
      <c r="AG12" s="1"/>
      <c r="AH12" s="1"/>
      <c r="AI12" s="1"/>
      <c r="AJ12" s="1"/>
      <c r="AK12" s="1"/>
      <c r="AL12" s="1"/>
      <c r="AM12" s="1"/>
      <c r="AN12" s="1"/>
      <c r="AO12" s="1"/>
      <c r="AP12" s="1"/>
      <c r="AQ12" s="1"/>
      <c r="AR12" s="38">
        <f t="shared" si="1"/>
        <v>653.92499999999995</v>
      </c>
      <c r="AS12" s="1"/>
      <c r="AT12" s="1"/>
      <c r="AU12" s="1"/>
      <c r="AV12" s="1"/>
      <c r="AW12" s="1"/>
      <c r="AX12" s="19" t="s">
        <v>174</v>
      </c>
      <c r="AY12" s="1"/>
      <c r="AZ12" s="1"/>
      <c r="BA12" s="92"/>
      <c r="BB12" s="92"/>
      <c r="BC12" s="92"/>
      <c r="BD12" s="1"/>
      <c r="BE12" s="1"/>
      <c r="BF12" s="1"/>
      <c r="BG12" s="1"/>
      <c r="BH12" s="1"/>
      <c r="BI12" s="1"/>
      <c r="BJ12" s="128">
        <f>AR12/'RPI_1880-2010'!B12*100</f>
        <v>56130.901287553635</v>
      </c>
    </row>
    <row r="13" spans="1:63" s="9" customFormat="1" ht="13.9" customHeight="1" x14ac:dyDescent="0.25">
      <c r="A13" s="9">
        <v>1891</v>
      </c>
      <c r="B13" s="92"/>
      <c r="C13" s="92"/>
      <c r="D13" s="92"/>
      <c r="E13" s="90"/>
      <c r="F13" s="92"/>
      <c r="G13" s="92"/>
      <c r="H13" s="92"/>
      <c r="I13" s="90"/>
      <c r="J13" s="92"/>
      <c r="K13" s="92"/>
      <c r="L13" s="92"/>
      <c r="M13" s="90"/>
      <c r="N13" s="1"/>
      <c r="O13" s="1"/>
      <c r="P13" s="95">
        <f>135782</f>
        <v>135782</v>
      </c>
      <c r="Q13" s="82">
        <f t="shared" si="2"/>
        <v>565.75833333333333</v>
      </c>
      <c r="R13" s="102">
        <f t="shared" si="0"/>
        <v>565.75833333333333</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38">
        <f t="shared" si="1"/>
        <v>565.75833333333333</v>
      </c>
      <c r="AS13" s="1"/>
      <c r="AT13" s="1"/>
      <c r="AU13" s="1"/>
      <c r="AV13" s="1"/>
      <c r="AW13" s="1"/>
      <c r="AX13" s="19" t="s">
        <v>175</v>
      </c>
      <c r="AY13" s="1"/>
      <c r="AZ13" s="1"/>
      <c r="BA13" s="92"/>
      <c r="BB13" s="92"/>
      <c r="BC13" s="92"/>
      <c r="BD13" s="1"/>
      <c r="BE13" s="1"/>
      <c r="BF13" s="1"/>
      <c r="BG13" s="1"/>
      <c r="BH13" s="1"/>
      <c r="BI13" s="1"/>
      <c r="BJ13" s="128">
        <f>AR13/'RPI_1880-2010'!B13*100</f>
        <v>48190.658716638274</v>
      </c>
    </row>
    <row r="14" spans="1:63" s="9" customFormat="1" ht="13.9" customHeight="1" x14ac:dyDescent="0.25">
      <c r="A14" s="9">
        <v>1892</v>
      </c>
      <c r="B14" s="92"/>
      <c r="C14" s="92"/>
      <c r="D14" s="92"/>
      <c r="E14" s="90"/>
      <c r="F14" s="92"/>
      <c r="G14" s="92"/>
      <c r="H14" s="92"/>
      <c r="I14" s="90"/>
      <c r="J14" s="92"/>
      <c r="K14" s="92"/>
      <c r="L14" s="92"/>
      <c r="M14" s="90"/>
      <c r="N14" s="1"/>
      <c r="O14" s="1"/>
      <c r="P14" s="95">
        <f>167579</f>
        <v>167579</v>
      </c>
      <c r="Q14" s="82">
        <f t="shared" si="2"/>
        <v>698.24583333333328</v>
      </c>
      <c r="R14" s="102">
        <f t="shared" si="0"/>
        <v>698.24583333333328</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38">
        <f t="shared" si="1"/>
        <v>698.24583333333328</v>
      </c>
      <c r="AS14" s="1"/>
      <c r="AT14" s="1"/>
      <c r="AU14" s="1"/>
      <c r="AV14" s="1"/>
      <c r="AW14" s="1"/>
      <c r="AX14" s="19" t="s">
        <v>175</v>
      </c>
      <c r="AY14" s="1"/>
      <c r="AZ14" s="1"/>
      <c r="BA14" s="92"/>
      <c r="BB14" s="92"/>
      <c r="BC14" s="92"/>
      <c r="BD14" s="1"/>
      <c r="BE14" s="1"/>
      <c r="BF14" s="1"/>
      <c r="BG14" s="1"/>
      <c r="BH14" s="1"/>
      <c r="BI14" s="1"/>
      <c r="BJ14" s="128">
        <f>AR14/'RPI_1880-2010'!B14*100</f>
        <v>59223.565168221648</v>
      </c>
    </row>
    <row r="15" spans="1:63" s="9" customFormat="1" ht="13.9" customHeight="1" x14ac:dyDescent="0.25">
      <c r="A15" s="9">
        <v>1893</v>
      </c>
      <c r="B15" s="92"/>
      <c r="C15" s="92"/>
      <c r="D15" s="92"/>
      <c r="E15" s="90"/>
      <c r="F15" s="92"/>
      <c r="G15" s="92"/>
      <c r="H15" s="92"/>
      <c r="I15" s="90"/>
      <c r="J15" s="92"/>
      <c r="K15" s="92"/>
      <c r="L15" s="92"/>
      <c r="M15" s="90"/>
      <c r="N15" s="1"/>
      <c r="O15" s="1"/>
      <c r="P15" s="95">
        <f>155832</f>
        <v>155832</v>
      </c>
      <c r="Q15" s="82">
        <f t="shared" si="2"/>
        <v>649.29999999999995</v>
      </c>
      <c r="R15" s="102">
        <f t="shared" si="0"/>
        <v>649.29999999999995</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38">
        <f t="shared" si="1"/>
        <v>649.29999999999995</v>
      </c>
      <c r="AS15" s="1"/>
      <c r="AT15" s="1"/>
      <c r="AU15" s="1"/>
      <c r="AV15" s="1"/>
      <c r="AW15" s="1"/>
      <c r="AX15" s="19" t="s">
        <v>176</v>
      </c>
      <c r="AY15" s="1"/>
      <c r="AZ15" s="1"/>
      <c r="BA15" s="92"/>
      <c r="BB15" s="92"/>
      <c r="BC15" s="92"/>
      <c r="BD15" s="1"/>
      <c r="BE15" s="1"/>
      <c r="BF15" s="1"/>
      <c r="BG15" s="1"/>
      <c r="BH15" s="1"/>
      <c r="BI15" s="1"/>
      <c r="BJ15" s="128">
        <f>AR15/'RPI_1880-2010'!B15*100</f>
        <v>56167.82006920415</v>
      </c>
    </row>
    <row r="16" spans="1:63" s="9" customFormat="1" ht="13.9" customHeight="1" x14ac:dyDescent="0.25">
      <c r="A16" s="9">
        <v>1894</v>
      </c>
      <c r="B16" s="92"/>
      <c r="C16" s="92"/>
      <c r="D16" s="92"/>
      <c r="E16" s="90"/>
      <c r="F16" s="92"/>
      <c r="G16" s="92"/>
      <c r="H16" s="92"/>
      <c r="I16" s="90"/>
      <c r="J16" s="92"/>
      <c r="K16" s="92"/>
      <c r="L16" s="92"/>
      <c r="M16" s="90"/>
      <c r="N16" s="1"/>
      <c r="O16" s="1"/>
      <c r="P16" s="95">
        <f>162721</f>
        <v>162721</v>
      </c>
      <c r="Q16" s="82">
        <f t="shared" si="2"/>
        <v>678.00416666666672</v>
      </c>
      <c r="R16" s="102">
        <f t="shared" si="0"/>
        <v>678.00416666666672</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38">
        <f t="shared" si="1"/>
        <v>678.00416666666672</v>
      </c>
      <c r="AS16" s="1"/>
      <c r="AT16" s="1"/>
      <c r="AU16" s="1"/>
      <c r="AV16" s="1"/>
      <c r="AW16" s="1"/>
      <c r="AX16" s="19" t="s">
        <v>176</v>
      </c>
      <c r="AY16" s="1"/>
      <c r="AZ16" s="1"/>
      <c r="BA16" s="92"/>
      <c r="BB16" s="92"/>
      <c r="BC16" s="92"/>
      <c r="BD16" s="1"/>
      <c r="BE16" s="1"/>
      <c r="BF16" s="1"/>
      <c r="BG16" s="1"/>
      <c r="BH16" s="1"/>
      <c r="BI16" s="1"/>
      <c r="BJ16" s="128">
        <f>AR16/'RPI_1880-2010'!B16*100</f>
        <v>60213.513913558323</v>
      </c>
    </row>
    <row r="17" spans="1:63" s="9" customFormat="1" ht="13.9" customHeight="1" x14ac:dyDescent="0.25">
      <c r="A17" s="9">
        <v>1895</v>
      </c>
      <c r="B17" s="92"/>
      <c r="C17" s="92"/>
      <c r="D17" s="92"/>
      <c r="E17" s="90"/>
      <c r="F17" s="92"/>
      <c r="G17" s="92"/>
      <c r="H17" s="92"/>
      <c r="I17" s="90"/>
      <c r="J17" s="92"/>
      <c r="K17" s="92"/>
      <c r="L17" s="92"/>
      <c r="M17" s="90"/>
      <c r="N17" s="1"/>
      <c r="O17" s="1"/>
      <c r="P17" s="95">
        <f>264003</f>
        <v>264003</v>
      </c>
      <c r="Q17" s="82">
        <f t="shared" si="2"/>
        <v>1100.0125</v>
      </c>
      <c r="R17" s="102">
        <f t="shared" si="0"/>
        <v>1100.0125</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38">
        <f t="shared" si="1"/>
        <v>1100.0125</v>
      </c>
      <c r="AS17" s="1"/>
      <c r="AT17" s="1"/>
      <c r="AU17" s="1"/>
      <c r="AV17" s="1"/>
      <c r="AW17" s="1"/>
      <c r="AX17" s="19" t="s">
        <v>176</v>
      </c>
      <c r="AY17" s="1"/>
      <c r="AZ17" s="1"/>
      <c r="BA17" s="92"/>
      <c r="BB17" s="92"/>
      <c r="BC17" s="92"/>
      <c r="BD17" s="1"/>
      <c r="BE17" s="1"/>
      <c r="BF17" s="1"/>
      <c r="BG17" s="1"/>
      <c r="BH17" s="1"/>
      <c r="BI17" s="1"/>
      <c r="BJ17" s="128">
        <f>AR17/'RPI_1880-2010'!B17*100</f>
        <v>99100.225225225222</v>
      </c>
    </row>
    <row r="18" spans="1:63" s="9" customFormat="1" ht="13.9" customHeight="1" x14ac:dyDescent="0.25">
      <c r="A18" s="9">
        <v>1896</v>
      </c>
      <c r="B18" s="92"/>
      <c r="C18" s="92"/>
      <c r="D18" s="92"/>
      <c r="E18" s="90"/>
      <c r="F18" s="92"/>
      <c r="G18" s="92"/>
      <c r="H18" s="92"/>
      <c r="I18" s="90"/>
      <c r="J18" s="92"/>
      <c r="K18" s="92"/>
      <c r="L18" s="92"/>
      <c r="M18" s="90"/>
      <c r="N18" s="1"/>
      <c r="O18" s="1"/>
      <c r="P18" s="95">
        <f>187325</f>
        <v>187325</v>
      </c>
      <c r="Q18" s="82">
        <f t="shared" si="2"/>
        <v>780.52083333333337</v>
      </c>
      <c r="R18" s="102">
        <f t="shared" si="0"/>
        <v>780.52083333333337</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38">
        <f t="shared" si="1"/>
        <v>780.52083333333337</v>
      </c>
      <c r="AS18" s="1"/>
      <c r="AT18" s="1"/>
      <c r="AU18" s="1"/>
      <c r="AV18" s="1"/>
      <c r="AW18" s="1"/>
      <c r="AX18" s="19" t="s">
        <v>176</v>
      </c>
      <c r="AY18" s="1"/>
      <c r="AZ18" s="1"/>
      <c r="BA18" s="92"/>
      <c r="BB18" s="92"/>
      <c r="BC18" s="92"/>
      <c r="BD18" s="1"/>
      <c r="BE18" s="1"/>
      <c r="BF18" s="1"/>
      <c r="BG18" s="1"/>
      <c r="BH18" s="1"/>
      <c r="BI18" s="1"/>
      <c r="BJ18" s="128">
        <f>AR18/'RPI_1880-2010'!B18*100</f>
        <v>70444.118531889282</v>
      </c>
    </row>
    <row r="19" spans="1:63" s="9" customFormat="1" ht="13.9" customHeight="1" x14ac:dyDescent="0.25">
      <c r="A19" s="9">
        <v>1897</v>
      </c>
      <c r="B19" s="92"/>
      <c r="C19" s="92"/>
      <c r="D19" s="92"/>
      <c r="E19" s="90"/>
      <c r="F19" s="92"/>
      <c r="G19" s="92"/>
      <c r="H19" s="92"/>
      <c r="I19" s="90"/>
      <c r="J19" s="92"/>
      <c r="K19" s="92"/>
      <c r="L19" s="92"/>
      <c r="M19" s="90"/>
      <c r="N19" s="1"/>
      <c r="O19" s="1"/>
      <c r="P19" s="95">
        <f>180993</f>
        <v>180993</v>
      </c>
      <c r="Q19" s="82">
        <f t="shared" si="2"/>
        <v>754.13750000000005</v>
      </c>
      <c r="R19" s="102">
        <f t="shared" si="0"/>
        <v>754.13750000000005</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38">
        <f t="shared" si="1"/>
        <v>754.13750000000005</v>
      </c>
      <c r="AS19" s="1"/>
      <c r="AT19" s="1"/>
      <c r="AU19" s="1"/>
      <c r="AV19" s="1"/>
      <c r="AW19" s="1"/>
      <c r="AX19" s="19" t="s">
        <v>176</v>
      </c>
      <c r="AY19" s="1"/>
      <c r="AZ19" s="1"/>
      <c r="BA19" s="92"/>
      <c r="BB19" s="92"/>
      <c r="BC19" s="92"/>
      <c r="BD19" s="1"/>
      <c r="BE19" s="1"/>
      <c r="BF19" s="1"/>
      <c r="BG19" s="1"/>
      <c r="BH19" s="1"/>
      <c r="BI19" s="1"/>
      <c r="BJ19" s="128">
        <f>AR19/'RPI_1880-2010'!B19*100</f>
        <v>66737.831858407095</v>
      </c>
    </row>
    <row r="20" spans="1:63" s="9" customFormat="1" ht="13.9" customHeight="1" x14ac:dyDescent="0.25">
      <c r="A20" s="9">
        <v>1898</v>
      </c>
      <c r="B20" s="92"/>
      <c r="C20" s="92"/>
      <c r="D20" s="92"/>
      <c r="E20" s="90"/>
      <c r="F20" s="92"/>
      <c r="G20" s="92"/>
      <c r="H20" s="92"/>
      <c r="I20" s="90"/>
      <c r="J20" s="92"/>
      <c r="K20" s="92"/>
      <c r="L20" s="92"/>
      <c r="M20" s="90"/>
      <c r="N20" s="1"/>
      <c r="O20" s="1"/>
      <c r="P20" s="95">
        <f>130198</f>
        <v>130198</v>
      </c>
      <c r="Q20" s="82">
        <f t="shared" si="2"/>
        <v>542.49166666666667</v>
      </c>
      <c r="R20" s="102">
        <f>Q20</f>
        <v>542.49166666666667</v>
      </c>
      <c r="S20" s="1"/>
      <c r="T20" s="1"/>
      <c r="U20" s="1"/>
      <c r="V20" s="1"/>
      <c r="W20" s="1"/>
      <c r="X20" s="1"/>
      <c r="Y20" s="1"/>
      <c r="Z20" s="1"/>
      <c r="AA20" s="1"/>
      <c r="AB20" s="1"/>
      <c r="AC20" s="1"/>
      <c r="AD20" s="1"/>
      <c r="AE20" s="1"/>
      <c r="AF20" s="1"/>
      <c r="AG20" s="1"/>
      <c r="AH20" s="1"/>
      <c r="AI20" s="1"/>
      <c r="AJ20" s="1"/>
      <c r="AK20" s="1"/>
      <c r="AL20" s="1"/>
      <c r="AM20" s="1"/>
      <c r="AN20" s="1"/>
      <c r="AO20" s="1"/>
      <c r="AP20" s="1"/>
      <c r="AQ20" s="1"/>
      <c r="AR20" s="38">
        <f t="shared" si="1"/>
        <v>542.49166666666667</v>
      </c>
      <c r="AS20" s="1"/>
      <c r="AT20" s="1"/>
      <c r="AU20" s="1"/>
      <c r="AV20" s="1"/>
      <c r="AW20" s="1"/>
      <c r="AX20" s="19" t="s">
        <v>176</v>
      </c>
      <c r="AY20" s="1"/>
      <c r="AZ20" s="1"/>
      <c r="BA20" s="92"/>
      <c r="BB20" s="92"/>
      <c r="BC20" s="92"/>
      <c r="BD20" s="1"/>
      <c r="BE20" s="1"/>
      <c r="BF20" s="1"/>
      <c r="BG20" s="1"/>
      <c r="BH20" s="1"/>
      <c r="BI20" s="1"/>
      <c r="BJ20" s="128">
        <f>AR20/'RPI_1880-2010'!B20*100</f>
        <v>47132.203880683468</v>
      </c>
    </row>
    <row r="21" spans="1:63" s="9" customFormat="1" ht="13.9" customHeight="1" x14ac:dyDescent="0.25">
      <c r="A21" s="9">
        <v>1899</v>
      </c>
      <c r="B21" s="92"/>
      <c r="C21" s="92"/>
      <c r="D21" s="92"/>
      <c r="E21" s="90"/>
      <c r="F21">
        <v>192</v>
      </c>
      <c r="G21">
        <v>17</v>
      </c>
      <c r="H21">
        <v>6</v>
      </c>
      <c r="I21" s="37">
        <f t="shared" ref="I21:I41" si="3">((240*F21)+(12*G21)+H21)/240</f>
        <v>192.875</v>
      </c>
      <c r="J21" s="92"/>
      <c r="K21" s="92"/>
      <c r="L21" s="92"/>
      <c r="M21" s="90"/>
      <c r="N21" s="1"/>
      <c r="O21" s="1"/>
      <c r="P21" s="100"/>
      <c r="Q21" s="101" t="s">
        <v>180</v>
      </c>
      <c r="R21" s="100"/>
      <c r="S21" s="1"/>
      <c r="T21" s="1"/>
      <c r="U21" s="1"/>
      <c r="V21" s="1"/>
      <c r="W21" s="1"/>
      <c r="X21" s="1"/>
      <c r="Y21" s="1"/>
      <c r="Z21" s="1"/>
      <c r="AA21" s="1"/>
      <c r="AB21" s="1"/>
      <c r="AC21" s="1"/>
      <c r="AD21" s="1"/>
      <c r="AE21" s="1"/>
      <c r="AF21" s="1"/>
      <c r="AG21" s="1"/>
      <c r="AH21" s="1"/>
      <c r="AI21" s="1"/>
      <c r="AJ21" s="1"/>
      <c r="AK21" s="1"/>
      <c r="AL21" s="1"/>
      <c r="AM21" s="1"/>
      <c r="AN21" s="1"/>
      <c r="AO21" s="1"/>
      <c r="AP21" s="1"/>
      <c r="AQ21" s="1"/>
      <c r="AR21" s="38"/>
      <c r="AS21" s="1"/>
      <c r="AT21" s="1"/>
      <c r="AU21" s="1"/>
      <c r="AV21" s="1"/>
      <c r="AW21" s="1"/>
      <c r="AX21" s="99" t="s">
        <v>179</v>
      </c>
      <c r="AY21" s="1"/>
      <c r="AZ21" s="1"/>
      <c r="BA21" s="92"/>
      <c r="BB21" s="92"/>
      <c r="BC21" s="92"/>
      <c r="BD21" s="1"/>
      <c r="BE21" s="1"/>
      <c r="BF21" s="1"/>
      <c r="BG21" s="1"/>
      <c r="BH21" s="1"/>
      <c r="BI21" s="1"/>
      <c r="BJ21" s="128">
        <f>AR21/'RPI_1880-2010'!B21*100</f>
        <v>0</v>
      </c>
    </row>
    <row r="22" spans="1:63" s="9" customFormat="1" ht="13.9" customHeight="1" x14ac:dyDescent="0.25">
      <c r="A22" s="9">
        <v>1900</v>
      </c>
      <c r="B22" s="97">
        <v>576</v>
      </c>
      <c r="C22" s="97">
        <v>5</v>
      </c>
      <c r="D22" s="13">
        <v>1</v>
      </c>
      <c r="E22" s="37">
        <f t="shared" ref="E22:E41" si="4">((240*B22)+(12*C22)+D22)/240</f>
        <v>576.25416666666672</v>
      </c>
      <c r="F22">
        <v>196</v>
      </c>
      <c r="G22">
        <v>3</v>
      </c>
      <c r="H22">
        <v>4</v>
      </c>
      <c r="I22" s="37">
        <f t="shared" si="3"/>
        <v>196.16666666666666</v>
      </c>
      <c r="J22" s="54">
        <v>7</v>
      </c>
      <c r="K22" s="54">
        <v>5</v>
      </c>
      <c r="L22" s="54">
        <v>11</v>
      </c>
      <c r="M22" s="37">
        <f t="shared" ref="M22:M41" si="5">((240*J22)+(12*K22)+L22)/240</f>
        <v>7.2958333333333334</v>
      </c>
      <c r="N22" s="99">
        <v>779</v>
      </c>
      <c r="O22" s="99">
        <v>14</v>
      </c>
      <c r="P22" s="99">
        <v>4</v>
      </c>
      <c r="Q22" s="37">
        <f t="shared" ref="Q22:Q41" si="6">((240*N22)+(12*O22)+P22)/240</f>
        <v>779.7166666666667</v>
      </c>
      <c r="R22" s="38">
        <f t="shared" ref="R22:R41" si="7">E22+I22+M22</f>
        <v>779.7166666666667</v>
      </c>
      <c r="S22" s="13">
        <v>71</v>
      </c>
      <c r="T22" s="13">
        <v>8</v>
      </c>
      <c r="U22" s="13">
        <v>4</v>
      </c>
      <c r="V22" s="12">
        <f>((240*S22)+(12*T22)+U22)/240</f>
        <v>71.416666666666671</v>
      </c>
      <c r="W22" s="12">
        <f>Q22-V22</f>
        <v>708.30000000000007</v>
      </c>
      <c r="X22" s="1"/>
      <c r="Y22" s="1"/>
      <c r="Z22" s="1"/>
      <c r="AA22" s="1"/>
      <c r="AB22" s="1"/>
      <c r="AC22" s="1"/>
      <c r="AD22" s="1"/>
      <c r="AE22" s="1"/>
      <c r="AF22" s="1"/>
      <c r="AG22" s="1"/>
      <c r="AH22" s="1"/>
      <c r="AI22" s="1"/>
      <c r="AJ22" s="1"/>
      <c r="AK22" s="1"/>
      <c r="AL22" s="1"/>
      <c r="AM22" s="1"/>
      <c r="AN22" s="1"/>
      <c r="AO22" s="1"/>
      <c r="AP22" s="1"/>
      <c r="AQ22" s="1"/>
      <c r="AR22" s="38">
        <f t="shared" ref="AR22:AR41" si="8">R22+AQ22-V22+AA22</f>
        <v>708.30000000000007</v>
      </c>
      <c r="AS22" s="1"/>
      <c r="AT22" s="1"/>
      <c r="AU22" s="1"/>
      <c r="AV22" s="1"/>
      <c r="AW22" s="102">
        <f>AR22+BI22</f>
        <v>1196.3000000000002</v>
      </c>
      <c r="AX22" t="s">
        <v>177</v>
      </c>
      <c r="AY22" s="99">
        <f>1000-512</f>
        <v>488</v>
      </c>
      <c r="BA22" s="92"/>
      <c r="BB22" s="92"/>
      <c r="BC22" s="92"/>
      <c r="BD22" s="1"/>
      <c r="BE22" s="1"/>
      <c r="BF22" s="1"/>
      <c r="BG22" s="1"/>
      <c r="BH22" s="1"/>
      <c r="BI22" s="99">
        <f>AY22</f>
        <v>488</v>
      </c>
      <c r="BJ22" s="128">
        <f>AR22/'RPI_1880-2010'!B22*100</f>
        <v>59772.151898734184</v>
      </c>
      <c r="BK22" s="130">
        <f>AW22/'RPI_1880-2010'!B22*100</f>
        <v>100953.58649789031</v>
      </c>
    </row>
    <row r="23" spans="1:63" s="9" customFormat="1" ht="13.9" customHeight="1" x14ac:dyDescent="0.25">
      <c r="A23" s="9">
        <v>1901</v>
      </c>
      <c r="B23" s="97">
        <v>527</v>
      </c>
      <c r="C23" s="97">
        <v>0</v>
      </c>
      <c r="D23" s="15">
        <v>10</v>
      </c>
      <c r="E23" s="37">
        <f t="shared" si="4"/>
        <v>527.04166666666663</v>
      </c>
      <c r="F23">
        <v>233</v>
      </c>
      <c r="G23">
        <v>2</v>
      </c>
      <c r="H23">
        <v>0</v>
      </c>
      <c r="I23" s="37">
        <f t="shared" si="3"/>
        <v>233.1</v>
      </c>
      <c r="J23" s="54">
        <f>39+3</f>
        <v>42</v>
      </c>
      <c r="K23" s="54">
        <f>11+13</f>
        <v>24</v>
      </c>
      <c r="L23" s="54">
        <f>8+8</f>
        <v>16</v>
      </c>
      <c r="M23" s="37">
        <f t="shared" si="5"/>
        <v>43.266666666666666</v>
      </c>
      <c r="N23" s="99">
        <v>803</v>
      </c>
      <c r="O23" s="99">
        <v>8</v>
      </c>
      <c r="P23" s="99">
        <v>2</v>
      </c>
      <c r="Q23" s="37">
        <f t="shared" si="6"/>
        <v>803.4083333333333</v>
      </c>
      <c r="R23" s="38">
        <f t="shared" si="7"/>
        <v>803.4083333333333</v>
      </c>
      <c r="S23" s="1"/>
      <c r="T23" s="1"/>
      <c r="U23" s="1"/>
      <c r="V23" s="1"/>
      <c r="W23" s="1"/>
      <c r="X23" s="1"/>
      <c r="Y23" s="1"/>
      <c r="Z23" s="1"/>
      <c r="AA23" s="1"/>
      <c r="AB23" s="1"/>
      <c r="AC23" s="1"/>
      <c r="AD23" s="1"/>
      <c r="AE23" s="1"/>
      <c r="AF23" s="1"/>
      <c r="AG23" s="1"/>
      <c r="AH23" s="1"/>
      <c r="AI23" s="1"/>
      <c r="AJ23" s="1"/>
      <c r="AK23" s="1"/>
      <c r="AL23" s="1"/>
      <c r="AM23" s="1"/>
      <c r="AN23" s="1"/>
      <c r="AO23" s="1"/>
      <c r="AP23" s="1"/>
      <c r="AQ23" s="1"/>
      <c r="AR23" s="38">
        <f t="shared" si="8"/>
        <v>803.4083333333333</v>
      </c>
      <c r="AS23" s="1"/>
      <c r="AT23" s="1"/>
      <c r="AU23" s="1"/>
      <c r="AV23" s="1"/>
      <c r="AW23" s="1"/>
      <c r="AX23" t="s">
        <v>177</v>
      </c>
      <c r="AY23" s="1"/>
      <c r="AZ23" s="1"/>
      <c r="BA23" s="92"/>
      <c r="BB23" s="92"/>
      <c r="BC23" s="92"/>
      <c r="BD23" s="1"/>
      <c r="BE23" s="1"/>
      <c r="BF23" s="1"/>
      <c r="BG23" s="1"/>
      <c r="BH23" s="1"/>
      <c r="BI23" s="1"/>
      <c r="BJ23" s="128">
        <f>AR23/'RPI_1880-2010'!B23*100</f>
        <v>68027.801298334743</v>
      </c>
    </row>
    <row r="24" spans="1:63" s="9" customFormat="1" ht="13.9" customHeight="1" x14ac:dyDescent="0.25">
      <c r="A24" s="9">
        <v>1902</v>
      </c>
      <c r="B24" s="97">
        <v>685</v>
      </c>
      <c r="C24" s="97">
        <v>9</v>
      </c>
      <c r="D24" s="15">
        <v>10</v>
      </c>
      <c r="E24" s="37">
        <f t="shared" si="4"/>
        <v>685.49166666666667</v>
      </c>
      <c r="F24">
        <v>263</v>
      </c>
      <c r="G24">
        <v>7</v>
      </c>
      <c r="H24">
        <v>1</v>
      </c>
      <c r="I24" s="37">
        <f t="shared" si="3"/>
        <v>263.35416666666669</v>
      </c>
      <c r="J24" s="54">
        <f>21+37+4</f>
        <v>62</v>
      </c>
      <c r="K24" s="54">
        <f>13+0+10</f>
        <v>23</v>
      </c>
      <c r="L24" s="54">
        <f>3+9+0</f>
        <v>12</v>
      </c>
      <c r="M24" s="37">
        <f t="shared" si="5"/>
        <v>63.2</v>
      </c>
      <c r="N24" s="99">
        <v>1012</v>
      </c>
      <c r="O24" s="99">
        <v>0</v>
      </c>
      <c r="P24" s="99">
        <v>11</v>
      </c>
      <c r="Q24" s="37">
        <f t="shared" si="6"/>
        <v>1012.0458333333333</v>
      </c>
      <c r="R24" s="38">
        <f t="shared" si="7"/>
        <v>1012.0458333333333</v>
      </c>
      <c r="S24" s="1"/>
      <c r="T24" s="1"/>
      <c r="U24" s="1"/>
      <c r="V24" s="1"/>
      <c r="W24" s="1"/>
      <c r="X24" s="1"/>
      <c r="Y24" s="1"/>
      <c r="Z24" s="1"/>
      <c r="AA24" s="1"/>
      <c r="AB24" s="1"/>
      <c r="AC24" s="1"/>
      <c r="AD24" s="1"/>
      <c r="AE24" s="1"/>
      <c r="AF24" s="1"/>
      <c r="AG24" s="1"/>
      <c r="AH24" s="1"/>
      <c r="AI24" s="1"/>
      <c r="AJ24" s="1"/>
      <c r="AK24" s="1"/>
      <c r="AL24" s="1"/>
      <c r="AM24" s="1"/>
      <c r="AN24" s="1"/>
      <c r="AO24" s="1"/>
      <c r="AP24" s="1"/>
      <c r="AQ24" s="1"/>
      <c r="AR24" s="38">
        <f t="shared" si="8"/>
        <v>1012.0458333333333</v>
      </c>
      <c r="AS24" s="1"/>
      <c r="AT24" s="1"/>
      <c r="AU24" s="1"/>
      <c r="AV24" s="1"/>
      <c r="AW24" s="1"/>
      <c r="AX24" t="s">
        <v>177</v>
      </c>
      <c r="AY24" s="1"/>
      <c r="AZ24" s="1"/>
      <c r="BA24" s="92"/>
      <c r="BB24" s="92"/>
      <c r="BC24" s="92"/>
      <c r="BD24" s="1"/>
      <c r="BE24" s="1"/>
      <c r="BF24" s="1"/>
      <c r="BG24" s="1"/>
      <c r="BH24" s="1"/>
      <c r="BI24" s="1"/>
      <c r="BJ24" s="128">
        <f>AR24/'RPI_1880-2010'!B24*100</f>
        <v>85693.974033305101</v>
      </c>
    </row>
    <row r="25" spans="1:63" s="9" customFormat="1" ht="13.9" customHeight="1" x14ac:dyDescent="0.25">
      <c r="A25" s="9">
        <v>1903</v>
      </c>
      <c r="B25" s="97">
        <v>822</v>
      </c>
      <c r="C25" s="97">
        <v>14</v>
      </c>
      <c r="D25" s="15">
        <v>4</v>
      </c>
      <c r="E25" s="37">
        <f t="shared" si="4"/>
        <v>822.7166666666667</v>
      </c>
      <c r="F25">
        <v>224</v>
      </c>
      <c r="G25">
        <v>0</v>
      </c>
      <c r="H25">
        <v>3</v>
      </c>
      <c r="I25" s="37">
        <f t="shared" si="3"/>
        <v>224.01249999999999</v>
      </c>
      <c r="J25" s="54">
        <f>10+17</f>
        <v>27</v>
      </c>
      <c r="K25" s="54">
        <f>14+11</f>
        <v>25</v>
      </c>
      <c r="L25" s="54">
        <f>1+5</f>
        <v>6</v>
      </c>
      <c r="M25" s="37">
        <f t="shared" si="5"/>
        <v>28.274999999999999</v>
      </c>
      <c r="N25" s="99">
        <v>1075</v>
      </c>
      <c r="O25" s="99">
        <v>0</v>
      </c>
      <c r="P25" s="99">
        <v>1</v>
      </c>
      <c r="Q25" s="37">
        <f t="shared" si="6"/>
        <v>1075.0041666666666</v>
      </c>
      <c r="R25" s="38">
        <f t="shared" si="7"/>
        <v>1075.0041666666668</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38">
        <f t="shared" si="8"/>
        <v>1075.0041666666668</v>
      </c>
      <c r="AS25" s="1"/>
      <c r="AT25" s="1"/>
      <c r="AU25" s="1"/>
      <c r="AV25" s="1"/>
      <c r="AW25" s="1"/>
      <c r="AX25" t="s">
        <v>177</v>
      </c>
      <c r="AY25" s="1"/>
      <c r="AZ25" s="1"/>
      <c r="BA25" s="92"/>
      <c r="BB25" s="92"/>
      <c r="BC25" s="92"/>
      <c r="BD25" s="1"/>
      <c r="BE25" s="1"/>
      <c r="BF25" s="1"/>
      <c r="BG25" s="1"/>
      <c r="BH25" s="1"/>
      <c r="BI25" s="1"/>
      <c r="BJ25" s="128">
        <f>AR25/'RPI_1880-2010'!B25*100</f>
        <v>90033.849804578465</v>
      </c>
    </row>
    <row r="26" spans="1:63" s="9" customFormat="1" ht="13.9" customHeight="1" x14ac:dyDescent="0.25">
      <c r="A26" s="9">
        <v>1904</v>
      </c>
      <c r="B26" s="97">
        <v>548</v>
      </c>
      <c r="C26" s="97">
        <v>2</v>
      </c>
      <c r="D26" s="15">
        <v>6</v>
      </c>
      <c r="E26" s="37">
        <f t="shared" si="4"/>
        <v>548.125</v>
      </c>
      <c r="F26">
        <v>289</v>
      </c>
      <c r="G26">
        <v>13</v>
      </c>
      <c r="H26">
        <v>2</v>
      </c>
      <c r="I26" s="37">
        <f t="shared" si="3"/>
        <v>289.65833333333336</v>
      </c>
      <c r="J26" s="54">
        <f>8+11</f>
        <v>19</v>
      </c>
      <c r="K26" s="54">
        <f>15+9</f>
        <v>24</v>
      </c>
      <c r="L26" s="54">
        <f>6+9</f>
        <v>15</v>
      </c>
      <c r="M26" s="37">
        <f t="shared" si="5"/>
        <v>20.262499999999999</v>
      </c>
      <c r="N26" s="99">
        <v>858</v>
      </c>
      <c r="O26" s="99">
        <v>0</v>
      </c>
      <c r="P26" s="99">
        <v>11</v>
      </c>
      <c r="Q26" s="37">
        <f t="shared" si="6"/>
        <v>858.04583333333335</v>
      </c>
      <c r="R26" s="38">
        <f t="shared" si="7"/>
        <v>858.04583333333335</v>
      </c>
      <c r="S26" s="1"/>
      <c r="T26" s="1"/>
      <c r="U26" s="1"/>
      <c r="V26" s="1"/>
      <c r="W26" s="1"/>
      <c r="X26" s="1"/>
      <c r="Y26" s="1"/>
      <c r="Z26" s="1"/>
      <c r="AA26" s="1"/>
      <c r="AB26" s="1"/>
      <c r="AC26" s="1"/>
      <c r="AD26" s="1"/>
      <c r="AE26" s="1"/>
      <c r="AF26" s="1"/>
      <c r="AG26" s="1"/>
      <c r="AH26" s="1"/>
      <c r="AI26" s="1"/>
      <c r="AJ26" s="1"/>
      <c r="AK26" s="1"/>
      <c r="AL26" s="1"/>
      <c r="AM26" s="1"/>
      <c r="AN26" s="1"/>
      <c r="AO26" s="1"/>
      <c r="AP26" s="1"/>
      <c r="AQ26" s="1"/>
      <c r="AR26" s="38">
        <f t="shared" si="8"/>
        <v>858.04583333333335</v>
      </c>
      <c r="AS26" s="1"/>
      <c r="AT26" s="1"/>
      <c r="AU26" s="1"/>
      <c r="AV26" s="1"/>
      <c r="AW26" s="1"/>
      <c r="AX26" t="s">
        <v>177</v>
      </c>
      <c r="AY26" s="1"/>
      <c r="AZ26" s="1"/>
      <c r="BA26" s="92"/>
      <c r="BB26" s="92"/>
      <c r="BC26" s="92"/>
      <c r="BD26" s="1"/>
      <c r="BE26" s="1"/>
      <c r="BF26" s="1"/>
      <c r="BG26" s="1"/>
      <c r="BH26" s="1"/>
      <c r="BI26" s="1"/>
      <c r="BJ26" s="128">
        <f>AR26/'RPI_1880-2010'!B26*100</f>
        <v>72104.691876750701</v>
      </c>
    </row>
    <row r="27" spans="1:63" s="9" customFormat="1" ht="13.9" customHeight="1" x14ac:dyDescent="0.25">
      <c r="A27" s="9">
        <v>1905</v>
      </c>
      <c r="B27" s="97">
        <v>438</v>
      </c>
      <c r="C27" s="97">
        <v>4</v>
      </c>
      <c r="D27" s="15">
        <v>10</v>
      </c>
      <c r="E27" s="37">
        <f t="shared" si="4"/>
        <v>438.24166666666667</v>
      </c>
      <c r="F27">
        <v>342</v>
      </c>
      <c r="G27">
        <v>4</v>
      </c>
      <c r="H27">
        <v>4</v>
      </c>
      <c r="I27" s="37">
        <f t="shared" si="3"/>
        <v>342.21666666666664</v>
      </c>
      <c r="J27" s="54">
        <f>21+16</f>
        <v>37</v>
      </c>
      <c r="K27" s="54">
        <f>9+18</f>
        <v>27</v>
      </c>
      <c r="L27" s="54">
        <f>9+0</f>
        <v>9</v>
      </c>
      <c r="M27" s="37">
        <f t="shared" si="5"/>
        <v>38.387500000000003</v>
      </c>
      <c r="N27" s="99">
        <v>818</v>
      </c>
      <c r="O27" s="99">
        <v>16</v>
      </c>
      <c r="P27" s="99">
        <v>11</v>
      </c>
      <c r="Q27" s="37">
        <f t="shared" si="6"/>
        <v>818.8458333333333</v>
      </c>
      <c r="R27" s="38">
        <f t="shared" si="7"/>
        <v>818.8458333333333</v>
      </c>
      <c r="S27" s="1"/>
      <c r="T27" s="1"/>
      <c r="U27" s="1"/>
      <c r="V27" s="1"/>
      <c r="W27" s="1"/>
      <c r="X27" s="1"/>
      <c r="Y27" s="1"/>
      <c r="Z27" s="1"/>
      <c r="AA27" s="1"/>
      <c r="AB27" s="1"/>
      <c r="AC27" s="1"/>
      <c r="AD27" s="1"/>
      <c r="AE27" s="1"/>
      <c r="AF27" s="1"/>
      <c r="AG27" s="1"/>
      <c r="AH27" s="1"/>
      <c r="AI27" s="1"/>
      <c r="AJ27" s="1"/>
      <c r="AK27" s="1"/>
      <c r="AL27" s="1"/>
      <c r="AM27" s="1"/>
      <c r="AN27" s="1"/>
      <c r="AO27" s="1"/>
      <c r="AP27" s="1"/>
      <c r="AQ27" s="1"/>
      <c r="AR27" s="38">
        <f t="shared" si="8"/>
        <v>818.8458333333333</v>
      </c>
      <c r="AS27" s="1"/>
      <c r="AT27" s="1"/>
      <c r="AU27" s="1"/>
      <c r="AV27" s="1"/>
      <c r="AW27" s="1"/>
      <c r="AX27" t="s">
        <v>177</v>
      </c>
      <c r="AY27" s="1"/>
      <c r="AZ27" s="1"/>
      <c r="BA27" s="92"/>
      <c r="BB27" s="92"/>
      <c r="BC27" s="92"/>
      <c r="BD27" s="1"/>
      <c r="BE27" s="1"/>
      <c r="BF27" s="1"/>
      <c r="BG27" s="1"/>
      <c r="BH27" s="1"/>
      <c r="BI27" s="1"/>
      <c r="BJ27" s="128">
        <f>AR27/'RPI_1880-2010'!B27*100</f>
        <v>68580.053042992746</v>
      </c>
    </row>
    <row r="28" spans="1:63" s="9" customFormat="1" ht="13.9" customHeight="1" x14ac:dyDescent="0.25">
      <c r="A28" s="9">
        <v>1906</v>
      </c>
      <c r="B28" s="97">
        <v>320</v>
      </c>
      <c r="C28" s="97">
        <v>19</v>
      </c>
      <c r="D28" s="15">
        <v>4</v>
      </c>
      <c r="E28" s="37">
        <f t="shared" si="4"/>
        <v>320.96666666666664</v>
      </c>
      <c r="F28">
        <v>540</v>
      </c>
      <c r="G28">
        <v>13</v>
      </c>
      <c r="H28">
        <v>11</v>
      </c>
      <c r="I28" s="37">
        <f t="shared" si="3"/>
        <v>540.69583333333333</v>
      </c>
      <c r="J28" s="54">
        <v>37</v>
      </c>
      <c r="K28" s="54">
        <v>7</v>
      </c>
      <c r="L28" s="54">
        <v>6</v>
      </c>
      <c r="M28" s="37">
        <f t="shared" si="5"/>
        <v>37.375</v>
      </c>
      <c r="N28" s="99">
        <v>899</v>
      </c>
      <c r="O28" s="99">
        <v>0</v>
      </c>
      <c r="P28" s="99">
        <v>9</v>
      </c>
      <c r="Q28" s="37">
        <f t="shared" si="6"/>
        <v>899.03750000000002</v>
      </c>
      <c r="R28" s="38">
        <f t="shared" si="7"/>
        <v>899.03749999999991</v>
      </c>
      <c r="S28" s="1"/>
      <c r="T28" s="1"/>
      <c r="U28" s="1"/>
      <c r="V28" s="1"/>
      <c r="W28" s="1"/>
      <c r="X28" s="1"/>
      <c r="Y28" s="1"/>
      <c r="Z28" s="1"/>
      <c r="AA28" s="1"/>
      <c r="AB28" s="1"/>
      <c r="AC28" s="1"/>
      <c r="AD28" s="1"/>
      <c r="AE28" s="1"/>
      <c r="AF28" s="1"/>
      <c r="AG28" s="1"/>
      <c r="AH28" s="1"/>
      <c r="AI28" s="1"/>
      <c r="AJ28" s="1"/>
      <c r="AK28" s="1"/>
      <c r="AL28" s="1"/>
      <c r="AM28" s="1"/>
      <c r="AN28" s="1"/>
      <c r="AO28" s="1"/>
      <c r="AP28" s="1"/>
      <c r="AQ28" s="1"/>
      <c r="AR28" s="38">
        <f t="shared" si="8"/>
        <v>899.03749999999991</v>
      </c>
      <c r="AS28" s="1"/>
      <c r="AT28" s="1"/>
      <c r="AU28" s="1"/>
      <c r="AV28" s="1"/>
      <c r="AW28" s="1"/>
      <c r="AX28" t="s">
        <v>177</v>
      </c>
      <c r="AY28" s="1"/>
      <c r="AZ28" s="1"/>
      <c r="BA28" s="92"/>
      <c r="BB28" s="92"/>
      <c r="BC28" s="92"/>
      <c r="BD28" s="1"/>
      <c r="BE28" s="1"/>
      <c r="BF28" s="1"/>
      <c r="BG28" s="1"/>
      <c r="BH28" s="1"/>
      <c r="BI28" s="1"/>
      <c r="BJ28" s="128">
        <f>AR28/'RPI_1880-2010'!B28*100</f>
        <v>75422.609060402683</v>
      </c>
    </row>
    <row r="29" spans="1:63" s="9" customFormat="1" ht="13.9" customHeight="1" x14ac:dyDescent="0.25">
      <c r="A29" s="9">
        <v>1907</v>
      </c>
      <c r="B29" s="97">
        <v>491</v>
      </c>
      <c r="C29" s="97">
        <v>18</v>
      </c>
      <c r="D29" s="15">
        <v>0</v>
      </c>
      <c r="E29" s="37">
        <f t="shared" si="4"/>
        <v>491.9</v>
      </c>
      <c r="F29">
        <v>608</v>
      </c>
      <c r="G29">
        <v>9</v>
      </c>
      <c r="H29">
        <v>7</v>
      </c>
      <c r="I29" s="37">
        <f t="shared" si="3"/>
        <v>608.47916666666663</v>
      </c>
      <c r="J29" s="54">
        <v>72</v>
      </c>
      <c r="K29" s="54">
        <v>4</v>
      </c>
      <c r="L29" s="54">
        <v>4</v>
      </c>
      <c r="M29" s="37">
        <f t="shared" si="5"/>
        <v>72.216666666666669</v>
      </c>
      <c r="N29" s="99">
        <v>1172</v>
      </c>
      <c r="O29" s="99">
        <v>11</v>
      </c>
      <c r="P29" s="99">
        <v>11</v>
      </c>
      <c r="Q29" s="37">
        <f t="shared" si="6"/>
        <v>1172.5958333333333</v>
      </c>
      <c r="R29" s="38">
        <f t="shared" si="7"/>
        <v>1172.5958333333333</v>
      </c>
      <c r="S29" s="1"/>
      <c r="T29" s="1"/>
      <c r="U29" s="1"/>
      <c r="V29" s="1"/>
      <c r="W29" s="1"/>
      <c r="X29" s="1"/>
      <c r="Y29" s="1"/>
      <c r="Z29" s="1"/>
      <c r="AA29" s="1"/>
      <c r="AB29" s="1"/>
      <c r="AC29" s="1"/>
      <c r="AD29" s="1"/>
      <c r="AE29" s="1"/>
      <c r="AF29" s="1"/>
      <c r="AG29" s="1"/>
      <c r="AH29" s="1"/>
      <c r="AI29" s="1"/>
      <c r="AJ29" s="1"/>
      <c r="AK29" s="1"/>
      <c r="AL29" s="1"/>
      <c r="AM29" s="1"/>
      <c r="AN29" s="1"/>
      <c r="AO29" s="1"/>
      <c r="AP29" s="1"/>
      <c r="AQ29" s="1"/>
      <c r="AR29" s="38">
        <f t="shared" si="8"/>
        <v>1172.5958333333333</v>
      </c>
      <c r="AS29" s="1"/>
      <c r="AT29" s="1"/>
      <c r="AU29" s="1"/>
      <c r="AV29" s="1"/>
      <c r="AW29" s="1"/>
      <c r="AX29" t="s">
        <v>177</v>
      </c>
      <c r="AY29" s="1"/>
      <c r="AZ29" s="1"/>
      <c r="BA29" s="92"/>
      <c r="BB29" s="92"/>
      <c r="BC29" s="92"/>
      <c r="BD29" s="1"/>
      <c r="BE29" s="1"/>
      <c r="BF29" s="1"/>
      <c r="BG29" s="1"/>
      <c r="BH29" s="1"/>
      <c r="BI29" s="1"/>
      <c r="BJ29" s="128">
        <f>AR29/'RPI_1880-2010'!B29*100</f>
        <v>96748.831133113315</v>
      </c>
    </row>
    <row r="30" spans="1:63" s="9" customFormat="1" ht="13.9" customHeight="1" x14ac:dyDescent="0.25">
      <c r="A30" s="9">
        <v>1908</v>
      </c>
      <c r="B30" s="97">
        <v>561</v>
      </c>
      <c r="C30" s="97">
        <v>14</v>
      </c>
      <c r="D30" s="15">
        <v>1</v>
      </c>
      <c r="E30" s="37">
        <f t="shared" si="4"/>
        <v>561.70416666666665</v>
      </c>
      <c r="F30">
        <v>580</v>
      </c>
      <c r="G30">
        <v>0</v>
      </c>
      <c r="H30">
        <v>4</v>
      </c>
      <c r="I30" s="37">
        <f t="shared" si="3"/>
        <v>580.01666666666665</v>
      </c>
      <c r="J30" s="54">
        <v>44</v>
      </c>
      <c r="K30" s="54">
        <v>16</v>
      </c>
      <c r="L30" s="54">
        <v>0</v>
      </c>
      <c r="M30" s="37">
        <f t="shared" si="5"/>
        <v>44.8</v>
      </c>
      <c r="N30" s="99">
        <v>1186</v>
      </c>
      <c r="O30" s="99">
        <v>10</v>
      </c>
      <c r="P30" s="99">
        <v>5</v>
      </c>
      <c r="Q30" s="37">
        <f t="shared" si="6"/>
        <v>1186.5208333333333</v>
      </c>
      <c r="R30" s="38">
        <f t="shared" si="7"/>
        <v>1186.5208333333333</v>
      </c>
      <c r="S30" s="1"/>
      <c r="T30" s="1"/>
      <c r="U30" s="1"/>
      <c r="V30" s="1"/>
      <c r="W30" s="1"/>
      <c r="X30" s="1"/>
      <c r="Y30" s="1"/>
      <c r="Z30" s="1"/>
      <c r="AA30" s="1"/>
      <c r="AB30" s="1"/>
      <c r="AC30" s="1"/>
      <c r="AD30" s="1"/>
      <c r="AE30" s="1"/>
      <c r="AF30" s="1"/>
      <c r="AG30" s="1"/>
      <c r="AH30" s="1"/>
      <c r="AI30" s="1"/>
      <c r="AJ30" s="1"/>
      <c r="AK30" s="1"/>
      <c r="AL30" s="1"/>
      <c r="AM30" s="1"/>
      <c r="AN30" s="1"/>
      <c r="AO30" s="1"/>
      <c r="AP30" s="1"/>
      <c r="AQ30" s="1"/>
      <c r="AR30" s="38">
        <f t="shared" si="8"/>
        <v>1186.5208333333333</v>
      </c>
      <c r="AS30" s="1"/>
      <c r="AT30" s="1"/>
      <c r="AU30" s="1"/>
      <c r="AV30" s="1"/>
      <c r="AW30" s="1"/>
      <c r="AX30" t="s">
        <v>177</v>
      </c>
      <c r="AY30" s="1"/>
      <c r="AZ30" s="1"/>
      <c r="BA30" s="92"/>
      <c r="BB30" s="92"/>
      <c r="BC30" s="92"/>
      <c r="BD30" s="1"/>
      <c r="BE30" s="1"/>
      <c r="BF30" s="1"/>
      <c r="BG30" s="1"/>
      <c r="BH30" s="1"/>
      <c r="BI30" s="1"/>
      <c r="BJ30" s="128">
        <f>AR30/'RPI_1880-2010'!B30*100</f>
        <v>96622.217698154185</v>
      </c>
    </row>
    <row r="31" spans="1:63" s="9" customFormat="1" ht="13.9" customHeight="1" x14ac:dyDescent="0.25">
      <c r="A31" s="9">
        <v>1909</v>
      </c>
      <c r="B31" s="97">
        <v>518</v>
      </c>
      <c r="C31" s="97">
        <v>1</v>
      </c>
      <c r="D31" s="15">
        <v>1</v>
      </c>
      <c r="E31" s="37">
        <f t="shared" si="4"/>
        <v>518.05416666666667</v>
      </c>
      <c r="F31">
        <v>425</v>
      </c>
      <c r="G31">
        <v>15</v>
      </c>
      <c r="H31">
        <v>2</v>
      </c>
      <c r="I31" s="37">
        <f t="shared" si="3"/>
        <v>425.75833333333333</v>
      </c>
      <c r="J31" s="54">
        <v>34</v>
      </c>
      <c r="K31" s="54">
        <v>12</v>
      </c>
      <c r="L31" s="54">
        <v>10</v>
      </c>
      <c r="M31" s="37">
        <f t="shared" si="5"/>
        <v>34.641666666666666</v>
      </c>
      <c r="N31" s="99">
        <v>978</v>
      </c>
      <c r="O31" s="99">
        <v>9</v>
      </c>
      <c r="P31" s="99">
        <v>1</v>
      </c>
      <c r="Q31" s="37">
        <f t="shared" si="6"/>
        <v>978.45416666666665</v>
      </c>
      <c r="R31" s="38">
        <f t="shared" si="7"/>
        <v>978.45416666666665</v>
      </c>
      <c r="S31" s="1"/>
      <c r="T31" s="1"/>
      <c r="U31" s="1"/>
      <c r="V31" s="1"/>
      <c r="W31" s="1"/>
      <c r="X31" s="1"/>
      <c r="Y31" s="1"/>
      <c r="Z31" s="1"/>
      <c r="AA31" s="1"/>
      <c r="AB31" s="1"/>
      <c r="AC31" s="1"/>
      <c r="AD31" s="1"/>
      <c r="AE31" s="1"/>
      <c r="AF31" s="1"/>
      <c r="AG31" s="1"/>
      <c r="AH31" s="1"/>
      <c r="AI31" s="1"/>
      <c r="AJ31" s="1"/>
      <c r="AK31" s="1"/>
      <c r="AL31" s="1"/>
      <c r="AM31" s="1"/>
      <c r="AN31" s="1"/>
      <c r="AO31" s="1"/>
      <c r="AP31" s="1"/>
      <c r="AQ31" s="1"/>
      <c r="AR31" s="38">
        <f t="shared" si="8"/>
        <v>978.45416666666665</v>
      </c>
      <c r="AS31" s="1"/>
      <c r="AT31" s="1"/>
      <c r="AU31" s="1"/>
      <c r="AV31" s="1"/>
      <c r="AW31" s="1"/>
      <c r="AX31" t="s">
        <v>178</v>
      </c>
      <c r="AY31" s="1"/>
      <c r="AZ31" s="1"/>
      <c r="BA31" s="92"/>
      <c r="BB31" s="92"/>
      <c r="BC31" s="92"/>
      <c r="BD31" s="1"/>
      <c r="BE31" s="1"/>
      <c r="BF31" s="1"/>
      <c r="BG31" s="1"/>
      <c r="BH31" s="1"/>
      <c r="BI31" s="1"/>
      <c r="BJ31" s="128">
        <f>AR31/'RPI_1880-2010'!B31*100</f>
        <v>79549.119241192413</v>
      </c>
    </row>
    <row r="32" spans="1:63" s="9" customFormat="1" ht="13.9" customHeight="1" x14ac:dyDescent="0.25">
      <c r="A32" s="9">
        <v>1910</v>
      </c>
      <c r="B32" s="97">
        <v>466</v>
      </c>
      <c r="C32" s="97">
        <v>17</v>
      </c>
      <c r="D32" s="13">
        <v>6</v>
      </c>
      <c r="E32" s="37">
        <f t="shared" si="4"/>
        <v>466.875</v>
      </c>
      <c r="F32">
        <v>592</v>
      </c>
      <c r="G32">
        <v>17</v>
      </c>
      <c r="H32">
        <v>0</v>
      </c>
      <c r="I32" s="37">
        <f t="shared" si="3"/>
        <v>592.85</v>
      </c>
      <c r="J32" s="13">
        <v>33</v>
      </c>
      <c r="K32" s="13">
        <v>5</v>
      </c>
      <c r="L32" s="13">
        <v>0</v>
      </c>
      <c r="M32" s="37">
        <f t="shared" si="5"/>
        <v>33.25</v>
      </c>
      <c r="N32" s="99">
        <v>1092</v>
      </c>
      <c r="O32" s="99">
        <v>19</v>
      </c>
      <c r="P32" s="99">
        <v>6</v>
      </c>
      <c r="Q32" s="37">
        <f t="shared" si="6"/>
        <v>1092.9749999999999</v>
      </c>
      <c r="R32" s="38">
        <f t="shared" si="7"/>
        <v>1092.9749999999999</v>
      </c>
      <c r="S32" s="13">
        <v>105</v>
      </c>
      <c r="T32" s="13">
        <v>11</v>
      </c>
      <c r="U32" s="13">
        <v>6</v>
      </c>
      <c r="V32" s="12">
        <f>((240*S32)+(12*T32)+U32)/240</f>
        <v>105.575</v>
      </c>
      <c r="W32" s="12">
        <f>Q32-V32</f>
        <v>987.39999999999986</v>
      </c>
      <c r="X32" s="1"/>
      <c r="Y32" s="1"/>
      <c r="Z32" s="1"/>
      <c r="AA32" s="1"/>
      <c r="AB32" s="1"/>
      <c r="AC32" s="1"/>
      <c r="AD32" s="1"/>
      <c r="AE32" s="1"/>
      <c r="AF32" s="1"/>
      <c r="AG32" s="1"/>
      <c r="AH32" s="1"/>
      <c r="AI32" s="1"/>
      <c r="AJ32" s="1"/>
      <c r="AK32" s="1"/>
      <c r="AL32" s="1"/>
      <c r="AM32" s="1"/>
      <c r="AN32" s="1"/>
      <c r="AO32" s="1"/>
      <c r="AP32" s="1"/>
      <c r="AQ32" s="1"/>
      <c r="AR32" s="38">
        <f t="shared" si="8"/>
        <v>987.39999999999986</v>
      </c>
      <c r="AS32" s="99">
        <f>1987-226</f>
        <v>1761</v>
      </c>
      <c r="AT32" s="99">
        <v>8</v>
      </c>
      <c r="AU32" s="99">
        <v>0</v>
      </c>
      <c r="AV32" s="37">
        <f t="shared" ref="AV32" si="9">((240*AS32)+(12*AT32)+AU32)/240</f>
        <v>1761.4</v>
      </c>
      <c r="AW32" s="37">
        <f>AR32+BI32</f>
        <v>1761.3999999999999</v>
      </c>
      <c r="AX32" t="s">
        <v>205</v>
      </c>
      <c r="AY32" s="99">
        <f>1000-226</f>
        <v>774</v>
      </c>
      <c r="AZ32" s="1"/>
      <c r="BA32" s="92"/>
      <c r="BB32" s="92"/>
      <c r="BC32" s="92"/>
      <c r="BD32" s="1"/>
      <c r="BE32" s="1"/>
      <c r="BF32" s="1"/>
      <c r="BG32" s="1"/>
      <c r="BH32" s="1"/>
      <c r="BI32" s="38">
        <f>AY32+AZ32+BD32+BH32</f>
        <v>774</v>
      </c>
      <c r="BJ32" s="128">
        <f>AR32/'RPI_1880-2010'!B32*100</f>
        <v>78614.649681528652</v>
      </c>
      <c r="BK32" s="130">
        <f>AW32/'RPI_1880-2010'!B32*100</f>
        <v>140238.85350318468</v>
      </c>
    </row>
    <row r="33" spans="1:63" s="9" customFormat="1" ht="13.9" customHeight="1" x14ac:dyDescent="0.25">
      <c r="A33" s="9">
        <v>1911</v>
      </c>
      <c r="B33" s="97">
        <v>465</v>
      </c>
      <c r="C33" s="97">
        <v>8</v>
      </c>
      <c r="D33" s="13">
        <v>3</v>
      </c>
      <c r="E33" s="37">
        <f t="shared" si="4"/>
        <v>465.41250000000002</v>
      </c>
      <c r="F33">
        <v>529</v>
      </c>
      <c r="G33">
        <v>18</v>
      </c>
      <c r="H33">
        <v>11</v>
      </c>
      <c r="I33" s="37">
        <f t="shared" si="3"/>
        <v>529.94583333333333</v>
      </c>
      <c r="J33" s="13"/>
      <c r="K33" s="13"/>
      <c r="L33" s="13"/>
      <c r="M33" s="37">
        <f t="shared" si="5"/>
        <v>0</v>
      </c>
      <c r="N33" s="99">
        <v>995</v>
      </c>
      <c r="O33" s="99">
        <v>7</v>
      </c>
      <c r="P33" s="99">
        <v>2</v>
      </c>
      <c r="Q33" s="37">
        <f t="shared" si="6"/>
        <v>995.35833333333335</v>
      </c>
      <c r="R33" s="38">
        <f t="shared" si="7"/>
        <v>995.35833333333335</v>
      </c>
      <c r="S33" s="1"/>
      <c r="T33" s="1"/>
      <c r="U33" s="1"/>
      <c r="V33" s="1"/>
      <c r="W33" s="1"/>
      <c r="X33" s="1"/>
      <c r="Y33" s="1"/>
      <c r="Z33" s="1"/>
      <c r="AA33" s="1"/>
      <c r="AB33" s="1"/>
      <c r="AC33" s="1"/>
      <c r="AD33" s="1"/>
      <c r="AE33" s="1"/>
      <c r="AF33" s="1"/>
      <c r="AG33" s="1"/>
      <c r="AH33" s="1"/>
      <c r="AI33" s="1"/>
      <c r="AJ33" s="1"/>
      <c r="AK33" s="1"/>
      <c r="AL33" s="1"/>
      <c r="AM33" s="1"/>
      <c r="AN33" s="1"/>
      <c r="AO33" s="1"/>
      <c r="AP33" s="1"/>
      <c r="AQ33" s="1"/>
      <c r="AR33" s="38">
        <f t="shared" si="8"/>
        <v>995.35833333333335</v>
      </c>
      <c r="AS33" s="1"/>
      <c r="AT33" s="1"/>
      <c r="AU33" s="1"/>
      <c r="AV33" s="1"/>
      <c r="AW33" s="1"/>
      <c r="AX33" t="s">
        <v>178</v>
      </c>
      <c r="AY33" s="1"/>
      <c r="AZ33" s="1"/>
      <c r="BA33" s="92"/>
      <c r="BB33" s="92"/>
      <c r="BC33" s="92"/>
      <c r="BD33" s="1"/>
      <c r="BE33" s="1"/>
      <c r="BF33" s="1"/>
      <c r="BG33" s="1"/>
      <c r="BH33" s="1"/>
      <c r="BI33" s="1"/>
      <c r="BJ33" s="128">
        <f>AR33/'RPI_1880-2010'!B33*100</f>
        <v>79059.438707969297</v>
      </c>
    </row>
    <row r="34" spans="1:63" s="9" customFormat="1" ht="13.9" customHeight="1" x14ac:dyDescent="0.25">
      <c r="A34" s="9">
        <v>1912</v>
      </c>
      <c r="B34" s="97">
        <v>386</v>
      </c>
      <c r="C34" s="97">
        <v>14</v>
      </c>
      <c r="D34" s="13">
        <v>3</v>
      </c>
      <c r="E34" s="37">
        <f t="shared" si="4"/>
        <v>386.71249999999998</v>
      </c>
      <c r="F34">
        <v>696</v>
      </c>
      <c r="G34">
        <v>10</v>
      </c>
      <c r="H34">
        <v>2</v>
      </c>
      <c r="I34" s="37">
        <f t="shared" si="3"/>
        <v>696.50833333333333</v>
      </c>
      <c r="J34" s="13"/>
      <c r="K34" s="13"/>
      <c r="L34" s="13"/>
      <c r="M34" s="37">
        <f t="shared" si="5"/>
        <v>0</v>
      </c>
      <c r="N34" s="99">
        <v>1083</v>
      </c>
      <c r="O34" s="99">
        <v>4</v>
      </c>
      <c r="P34" s="99">
        <v>5</v>
      </c>
      <c r="Q34" s="37">
        <f t="shared" si="6"/>
        <v>1083.2208333333333</v>
      </c>
      <c r="R34" s="38">
        <f t="shared" si="7"/>
        <v>1083.2208333333333</v>
      </c>
      <c r="S34" s="1"/>
      <c r="T34" s="1"/>
      <c r="U34" s="1"/>
      <c r="V34" s="1"/>
      <c r="W34" s="1"/>
      <c r="X34" s="1"/>
      <c r="Y34" s="1"/>
      <c r="Z34" s="1"/>
      <c r="AA34" s="1"/>
      <c r="AB34" s="1"/>
      <c r="AC34" s="1"/>
      <c r="AD34" s="1"/>
      <c r="AE34" s="1"/>
      <c r="AF34" s="1"/>
      <c r="AG34" s="1"/>
      <c r="AH34" s="1"/>
      <c r="AI34" s="1"/>
      <c r="AJ34" s="1"/>
      <c r="AK34" s="1"/>
      <c r="AL34" s="1"/>
      <c r="AM34" s="1"/>
      <c r="AN34" s="1"/>
      <c r="AO34" s="1"/>
      <c r="AP34" s="1"/>
      <c r="AQ34" s="1"/>
      <c r="AR34" s="38">
        <f t="shared" si="8"/>
        <v>1083.2208333333333</v>
      </c>
      <c r="AS34" s="1"/>
      <c r="AT34" s="1"/>
      <c r="AU34" s="1"/>
      <c r="AV34" s="1"/>
      <c r="AW34" s="1"/>
      <c r="AX34" t="s">
        <v>178</v>
      </c>
      <c r="AY34" s="1"/>
      <c r="AZ34" s="1"/>
      <c r="BA34" s="92"/>
      <c r="BB34" s="92"/>
      <c r="BC34" s="92"/>
      <c r="BD34" s="1"/>
      <c r="BE34" s="1"/>
      <c r="BF34" s="1"/>
      <c r="BG34" s="1"/>
      <c r="BH34" s="1"/>
      <c r="BI34" s="1"/>
      <c r="BJ34" s="128">
        <f>AR34/'RPI_1880-2010'!B34*100</f>
        <v>83646.396396396405</v>
      </c>
    </row>
    <row r="35" spans="1:63" s="9" customFormat="1" ht="13.9" customHeight="1" x14ac:dyDescent="0.25">
      <c r="A35" s="9">
        <v>1913</v>
      </c>
      <c r="B35" s="97">
        <v>414</v>
      </c>
      <c r="C35" s="97">
        <v>8</v>
      </c>
      <c r="D35" s="13">
        <v>5</v>
      </c>
      <c r="E35" s="37">
        <f t="shared" si="4"/>
        <v>414.42083333333335</v>
      </c>
      <c r="F35">
        <v>841</v>
      </c>
      <c r="G35">
        <v>10</v>
      </c>
      <c r="H35">
        <v>10</v>
      </c>
      <c r="I35" s="37">
        <f t="shared" si="3"/>
        <v>841.54166666666663</v>
      </c>
      <c r="J35" s="13"/>
      <c r="K35" s="13"/>
      <c r="L35" s="13"/>
      <c r="M35" s="37">
        <f t="shared" si="5"/>
        <v>0</v>
      </c>
      <c r="N35" s="99">
        <v>1255</v>
      </c>
      <c r="O35" s="99">
        <v>19</v>
      </c>
      <c r="P35" s="99">
        <v>3</v>
      </c>
      <c r="Q35" s="37">
        <f t="shared" si="6"/>
        <v>1255.9625000000001</v>
      </c>
      <c r="R35" s="38">
        <f t="shared" si="7"/>
        <v>1255.9625000000001</v>
      </c>
      <c r="S35" s="1"/>
      <c r="T35" s="1"/>
      <c r="U35" s="1"/>
      <c r="V35" s="1"/>
      <c r="W35" s="1"/>
      <c r="X35" s="1"/>
      <c r="Y35" s="1"/>
      <c r="Z35" s="1"/>
      <c r="AA35" s="1"/>
      <c r="AB35" s="1"/>
      <c r="AC35" s="1"/>
      <c r="AD35" s="1"/>
      <c r="AE35" s="1"/>
      <c r="AF35" s="1"/>
      <c r="AG35" s="1"/>
      <c r="AH35" s="1"/>
      <c r="AI35" s="1"/>
      <c r="AJ35" s="1"/>
      <c r="AK35" s="1"/>
      <c r="AL35" s="1"/>
      <c r="AM35" s="1"/>
      <c r="AN35" s="1"/>
      <c r="AO35" s="1"/>
      <c r="AP35" s="1"/>
      <c r="AQ35" s="1"/>
      <c r="AR35" s="38">
        <f t="shared" si="8"/>
        <v>1255.9625000000001</v>
      </c>
      <c r="AS35" s="1"/>
      <c r="AT35" s="1"/>
      <c r="AU35" s="1"/>
      <c r="AV35" s="1"/>
      <c r="AW35" s="1"/>
      <c r="AX35" t="s">
        <v>178</v>
      </c>
      <c r="AY35" s="1"/>
      <c r="AZ35" s="1"/>
      <c r="BA35" s="92"/>
      <c r="BB35" s="92"/>
      <c r="BC35" s="92"/>
      <c r="BD35" s="1"/>
      <c r="BE35" s="1"/>
      <c r="BF35" s="1"/>
      <c r="BG35" s="1"/>
      <c r="BH35" s="1"/>
      <c r="BI35" s="1"/>
      <c r="BJ35" s="128">
        <f>AR35/'RPI_1880-2010'!B35*100</f>
        <v>96390.061396776684</v>
      </c>
    </row>
    <row r="36" spans="1:63" s="9" customFormat="1" ht="13.9" customHeight="1" x14ac:dyDescent="0.25">
      <c r="A36" s="9">
        <v>1914</v>
      </c>
      <c r="B36" s="97">
        <v>502</v>
      </c>
      <c r="C36" s="97">
        <v>15</v>
      </c>
      <c r="D36" s="13">
        <v>11</v>
      </c>
      <c r="E36" s="37">
        <f t="shared" si="4"/>
        <v>502.79583333333335</v>
      </c>
      <c r="F36">
        <v>625</v>
      </c>
      <c r="G36">
        <v>14</v>
      </c>
      <c r="H36">
        <v>10</v>
      </c>
      <c r="I36" s="37">
        <f t="shared" si="3"/>
        <v>625.74166666666667</v>
      </c>
      <c r="J36" s="13"/>
      <c r="K36" s="13"/>
      <c r="L36" s="13"/>
      <c r="M36" s="37">
        <f t="shared" si="5"/>
        <v>0</v>
      </c>
      <c r="N36" s="99">
        <v>1128</v>
      </c>
      <c r="O36" s="99">
        <v>10</v>
      </c>
      <c r="P36" s="99">
        <v>9</v>
      </c>
      <c r="Q36" s="37">
        <f t="shared" si="6"/>
        <v>1128.5374999999999</v>
      </c>
      <c r="R36" s="38">
        <f t="shared" si="7"/>
        <v>1128.5374999999999</v>
      </c>
      <c r="S36" s="1"/>
      <c r="T36" s="1"/>
      <c r="U36" s="1"/>
      <c r="V36" s="1"/>
      <c r="W36" s="1"/>
      <c r="X36" s="1"/>
      <c r="Y36" s="1"/>
      <c r="Z36" s="1"/>
      <c r="AA36" s="1"/>
      <c r="AB36" s="1"/>
      <c r="AC36" s="1"/>
      <c r="AD36" s="1"/>
      <c r="AE36" s="1"/>
      <c r="AF36" s="1"/>
      <c r="AG36" s="1"/>
      <c r="AH36" s="1"/>
      <c r="AI36" s="1"/>
      <c r="AJ36" s="1"/>
      <c r="AK36" s="1"/>
      <c r="AL36" s="1"/>
      <c r="AM36" s="1"/>
      <c r="AN36" s="1"/>
      <c r="AO36" s="1"/>
      <c r="AP36" s="1"/>
      <c r="AQ36" s="1"/>
      <c r="AR36" s="38">
        <f t="shared" si="8"/>
        <v>1128.5374999999999</v>
      </c>
      <c r="AS36" s="1"/>
      <c r="AT36" s="1"/>
      <c r="AU36" s="1"/>
      <c r="AV36" s="1"/>
      <c r="AW36" s="1"/>
      <c r="AX36" t="s">
        <v>178</v>
      </c>
      <c r="AY36" s="1"/>
      <c r="AZ36" s="1"/>
      <c r="BA36" s="92"/>
      <c r="BB36" s="92"/>
      <c r="BC36" s="92"/>
      <c r="BD36" s="1"/>
      <c r="BE36" s="1"/>
      <c r="BF36" s="1"/>
      <c r="BG36" s="1"/>
      <c r="BH36" s="1"/>
      <c r="BI36" s="1"/>
      <c r="BJ36" s="128">
        <f>AR36/'RPI_1880-2010'!B36*100</f>
        <v>84471.369760479036</v>
      </c>
    </row>
    <row r="37" spans="1:63" s="9" customFormat="1" ht="13.9" customHeight="1" x14ac:dyDescent="0.25">
      <c r="A37" s="9">
        <v>1915</v>
      </c>
      <c r="B37" s="97">
        <v>580</v>
      </c>
      <c r="C37" s="97">
        <v>0</v>
      </c>
      <c r="D37" s="13">
        <v>3</v>
      </c>
      <c r="E37" s="37">
        <f t="shared" si="4"/>
        <v>580.01250000000005</v>
      </c>
      <c r="F37">
        <v>386</v>
      </c>
      <c r="G37">
        <v>3</v>
      </c>
      <c r="H37">
        <v>11</v>
      </c>
      <c r="I37" s="37">
        <f t="shared" si="3"/>
        <v>386.19583333333333</v>
      </c>
      <c r="J37" s="13"/>
      <c r="K37" s="13"/>
      <c r="L37" s="13"/>
      <c r="M37" s="37">
        <f t="shared" si="5"/>
        <v>0</v>
      </c>
      <c r="N37" s="99">
        <v>966</v>
      </c>
      <c r="O37" s="99">
        <v>4</v>
      </c>
      <c r="P37" s="99">
        <v>2</v>
      </c>
      <c r="Q37" s="37">
        <f t="shared" si="6"/>
        <v>966.20833333333337</v>
      </c>
      <c r="R37" s="38">
        <f t="shared" si="7"/>
        <v>966.20833333333337</v>
      </c>
      <c r="S37" s="99">
        <v>98</v>
      </c>
      <c r="T37" s="99">
        <v>7</v>
      </c>
      <c r="U37" s="99">
        <v>3</v>
      </c>
      <c r="V37" s="12">
        <f>((240*S37)+(12*T37)+U37)/240</f>
        <v>98.362499999999997</v>
      </c>
      <c r="W37" s="12">
        <f>Q37-V37</f>
        <v>867.84583333333342</v>
      </c>
      <c r="X37" s="99">
        <f>12+18</f>
        <v>30</v>
      </c>
      <c r="Y37" s="99">
        <v>10</v>
      </c>
      <c r="Z37" s="99">
        <v>1</v>
      </c>
      <c r="AA37" s="37">
        <f>((240*X37)+(12*Y37)+Z37)/240</f>
        <v>30.504166666666666</v>
      </c>
      <c r="AB37" s="1"/>
      <c r="AC37" s="1"/>
      <c r="AD37" s="1"/>
      <c r="AE37" s="1"/>
      <c r="AF37" s="1"/>
      <c r="AG37" s="1"/>
      <c r="AH37" s="1"/>
      <c r="AI37" s="1"/>
      <c r="AJ37" s="1"/>
      <c r="AK37" s="1"/>
      <c r="AL37" s="1"/>
      <c r="AM37" s="1"/>
      <c r="AN37" s="1"/>
      <c r="AO37" s="1"/>
      <c r="AP37" s="1"/>
      <c r="AQ37" s="1"/>
      <c r="AR37" s="38">
        <f t="shared" si="8"/>
        <v>898.35000000000014</v>
      </c>
      <c r="AS37" s="99">
        <f>1898-233</f>
        <v>1665</v>
      </c>
      <c r="AT37" s="99">
        <v>7</v>
      </c>
      <c r="AU37" s="99">
        <v>0</v>
      </c>
      <c r="AV37" s="37">
        <f t="shared" ref="AV37:AV39" si="10">((240*AS37)+(12*AT37)+AU37)/240</f>
        <v>1665.35</v>
      </c>
      <c r="AW37" s="37">
        <f>AR37+BI37</f>
        <v>1665.3500000000001</v>
      </c>
      <c r="AX37" t="s">
        <v>192</v>
      </c>
      <c r="AY37" s="99">
        <f>1000-233</f>
        <v>767</v>
      </c>
      <c r="AZ37" s="1"/>
      <c r="BA37" s="92"/>
      <c r="BB37" s="92"/>
      <c r="BC37" s="92"/>
      <c r="BD37" s="1"/>
      <c r="BE37" s="1"/>
      <c r="BF37" s="1"/>
      <c r="BG37" s="1"/>
      <c r="BH37" s="1"/>
      <c r="BI37" s="38">
        <f>AY37+AZ37+BD37+BH37</f>
        <v>767</v>
      </c>
      <c r="BJ37" s="128">
        <f>AR37/'RPI_1880-2010'!B37*100</f>
        <v>56146.875</v>
      </c>
      <c r="BK37" s="130">
        <f>AW37/'RPI_1880-2010'!B37*100</f>
        <v>104084.375</v>
      </c>
    </row>
    <row r="38" spans="1:63" s="9" customFormat="1" ht="13.9" customHeight="1" x14ac:dyDescent="0.25">
      <c r="A38" s="9">
        <v>1916</v>
      </c>
      <c r="B38" s="97">
        <v>504</v>
      </c>
      <c r="C38" s="97">
        <v>19</v>
      </c>
      <c r="D38" s="13">
        <v>2</v>
      </c>
      <c r="E38" s="37">
        <f t="shared" si="4"/>
        <v>504.95833333333331</v>
      </c>
      <c r="F38">
        <v>277</v>
      </c>
      <c r="G38">
        <v>17</v>
      </c>
      <c r="H38">
        <v>11</v>
      </c>
      <c r="I38" s="37">
        <f t="shared" si="3"/>
        <v>277.89583333333331</v>
      </c>
      <c r="J38" s="13"/>
      <c r="K38" s="13"/>
      <c r="L38" s="13"/>
      <c r="M38" s="37">
        <f t="shared" si="5"/>
        <v>0</v>
      </c>
      <c r="N38" s="99">
        <v>782</v>
      </c>
      <c r="O38" s="99">
        <v>17</v>
      </c>
      <c r="P38" s="99">
        <v>1</v>
      </c>
      <c r="Q38" s="37">
        <f t="shared" si="6"/>
        <v>782.85416666666663</v>
      </c>
      <c r="R38" s="38">
        <f t="shared" si="7"/>
        <v>782.85416666666663</v>
      </c>
      <c r="S38" s="1"/>
      <c r="T38" s="1"/>
      <c r="U38" s="1"/>
      <c r="V38" s="1"/>
      <c r="W38" s="1"/>
      <c r="X38" s="1"/>
      <c r="Y38" s="1"/>
      <c r="Z38" s="1"/>
      <c r="AA38" s="1"/>
      <c r="AB38" s="1"/>
      <c r="AC38" s="1"/>
      <c r="AD38" s="1"/>
      <c r="AE38" s="1"/>
      <c r="AF38" s="1"/>
      <c r="AG38" s="1"/>
      <c r="AH38" s="1"/>
      <c r="AI38" s="1"/>
      <c r="AJ38" s="1"/>
      <c r="AK38" s="1"/>
      <c r="AL38" s="1"/>
      <c r="AM38" s="1"/>
      <c r="AN38" s="1"/>
      <c r="AO38" s="1"/>
      <c r="AP38" s="1"/>
      <c r="AQ38" s="1"/>
      <c r="AR38" s="38">
        <f t="shared" si="8"/>
        <v>782.85416666666663</v>
      </c>
      <c r="AS38" s="1"/>
      <c r="AT38" s="1"/>
      <c r="AU38" s="1"/>
      <c r="AV38" s="1"/>
      <c r="AW38" s="1"/>
      <c r="AX38" t="s">
        <v>178</v>
      </c>
      <c r="AY38" s="1"/>
      <c r="AZ38" s="1"/>
      <c r="BA38" s="92"/>
      <c r="BB38" s="92"/>
      <c r="BC38" s="92"/>
      <c r="BD38" s="1"/>
      <c r="BE38" s="1"/>
      <c r="BF38" s="1"/>
      <c r="BG38" s="1"/>
      <c r="BH38" s="1"/>
      <c r="BI38" s="1"/>
      <c r="BJ38" s="128">
        <f>AR38/'RPI_1880-2010'!B38*100</f>
        <v>41398.951172219284</v>
      </c>
    </row>
    <row r="39" spans="1:63" s="9" customFormat="1" ht="13.9" customHeight="1" x14ac:dyDescent="0.25">
      <c r="A39" s="9">
        <v>1917</v>
      </c>
      <c r="B39" s="97">
        <v>305</v>
      </c>
      <c r="C39" s="97">
        <v>15</v>
      </c>
      <c r="D39" s="13">
        <v>10</v>
      </c>
      <c r="E39" s="37">
        <f t="shared" si="4"/>
        <v>305.79166666666669</v>
      </c>
      <c r="F39">
        <v>453</v>
      </c>
      <c r="G39">
        <v>5</v>
      </c>
      <c r="H39">
        <v>4</v>
      </c>
      <c r="I39" s="37">
        <f t="shared" si="3"/>
        <v>453.26666666666665</v>
      </c>
      <c r="J39" s="13">
        <v>21</v>
      </c>
      <c r="K39" s="13">
        <v>6</v>
      </c>
      <c r="L39" s="13">
        <v>9</v>
      </c>
      <c r="M39" s="37">
        <f t="shared" si="5"/>
        <v>21.337499999999999</v>
      </c>
      <c r="N39" s="99">
        <v>780</v>
      </c>
      <c r="O39" s="99">
        <v>7</v>
      </c>
      <c r="P39" s="99">
        <v>11</v>
      </c>
      <c r="Q39" s="37">
        <f t="shared" si="6"/>
        <v>780.39583333333337</v>
      </c>
      <c r="R39" s="38">
        <f t="shared" si="7"/>
        <v>780.39583333333337</v>
      </c>
      <c r="S39" s="99">
        <v>75</v>
      </c>
      <c r="T39" s="99">
        <v>2</v>
      </c>
      <c r="U39" s="99">
        <v>3</v>
      </c>
      <c r="V39" s="12">
        <f>((240*S39)+(12*T39)+U39)/240</f>
        <v>75.112499999999997</v>
      </c>
      <c r="W39" s="12">
        <f>Q39-V39</f>
        <v>705.28333333333342</v>
      </c>
      <c r="X39" s="1"/>
      <c r="Y39" s="1"/>
      <c r="Z39" s="1"/>
      <c r="AA39" s="1"/>
      <c r="AB39" s="1"/>
      <c r="AC39" s="1"/>
      <c r="AD39" s="1"/>
      <c r="AE39" s="1"/>
      <c r="AF39" s="1"/>
      <c r="AG39" s="1"/>
      <c r="AH39" s="1"/>
      <c r="AI39" s="1"/>
      <c r="AJ39" s="1"/>
      <c r="AK39" s="1"/>
      <c r="AL39" s="1"/>
      <c r="AM39" s="1"/>
      <c r="AN39" s="1"/>
      <c r="AO39" s="1"/>
      <c r="AP39" s="1"/>
      <c r="AQ39" s="1"/>
      <c r="AR39" s="38">
        <f t="shared" si="8"/>
        <v>705.28333333333342</v>
      </c>
      <c r="AS39" s="99">
        <f>1705-405</f>
        <v>1300</v>
      </c>
      <c r="AT39" s="99">
        <v>5</v>
      </c>
      <c r="AU39" s="99">
        <v>8</v>
      </c>
      <c r="AV39" s="37">
        <f t="shared" si="10"/>
        <v>1300.2833333333333</v>
      </c>
      <c r="AW39" s="37">
        <f>AR39+BI39</f>
        <v>1300.2833333333333</v>
      </c>
      <c r="AX39" t="s">
        <v>178</v>
      </c>
      <c r="AY39" s="99">
        <f>1000-405</f>
        <v>595</v>
      </c>
      <c r="AZ39" s="1"/>
      <c r="BA39" s="92"/>
      <c r="BB39" s="92"/>
      <c r="BC39" s="92"/>
      <c r="BD39" s="1"/>
      <c r="BE39" s="1"/>
      <c r="BF39" s="1"/>
      <c r="BG39" s="1"/>
      <c r="BH39" s="1"/>
      <c r="BI39" s="38">
        <f>AY39+AZ39+BD39+BH39</f>
        <v>595</v>
      </c>
      <c r="BJ39" s="128">
        <f>AR39/'RPI_1880-2010'!B39*100</f>
        <v>30825.320512820519</v>
      </c>
      <c r="BK39" s="130">
        <f>AW39/'RPI_1880-2010'!B39*100</f>
        <v>56830.565268065278</v>
      </c>
    </row>
    <row r="40" spans="1:63" s="9" customFormat="1" ht="13.9" customHeight="1" x14ac:dyDescent="0.25">
      <c r="A40" s="9">
        <v>1918</v>
      </c>
      <c r="B40" s="97">
        <v>210</v>
      </c>
      <c r="C40" s="97">
        <v>11</v>
      </c>
      <c r="D40" s="13">
        <v>5</v>
      </c>
      <c r="E40" s="37">
        <f t="shared" si="4"/>
        <v>210.57083333333333</v>
      </c>
      <c r="F40">
        <v>324</v>
      </c>
      <c r="G40">
        <v>1</v>
      </c>
      <c r="H40">
        <v>7</v>
      </c>
      <c r="I40" s="37">
        <f t="shared" si="3"/>
        <v>324.07916666666665</v>
      </c>
      <c r="J40" s="13"/>
      <c r="K40" s="13"/>
      <c r="L40" s="13"/>
      <c r="M40" s="37">
        <f t="shared" si="5"/>
        <v>0</v>
      </c>
      <c r="N40" s="99">
        <v>534</v>
      </c>
      <c r="O40" s="99">
        <v>13</v>
      </c>
      <c r="P40" s="99">
        <v>0</v>
      </c>
      <c r="Q40" s="37">
        <f t="shared" si="6"/>
        <v>534.65</v>
      </c>
      <c r="R40" s="38">
        <f t="shared" si="7"/>
        <v>534.65</v>
      </c>
      <c r="S40" s="1"/>
      <c r="T40" s="1"/>
      <c r="U40" s="1"/>
      <c r="V40" s="1"/>
      <c r="W40" s="1"/>
      <c r="X40" s="1"/>
      <c r="Y40" s="1"/>
      <c r="Z40" s="1"/>
      <c r="AA40" s="1"/>
      <c r="AB40" s="1"/>
      <c r="AC40" s="1"/>
      <c r="AD40" s="1"/>
      <c r="AE40" s="1"/>
      <c r="AF40" s="1"/>
      <c r="AG40" s="1"/>
      <c r="AH40" s="1"/>
      <c r="AI40" s="1"/>
      <c r="AJ40" s="1"/>
      <c r="AK40" s="1"/>
      <c r="AL40" s="1"/>
      <c r="AM40" s="1"/>
      <c r="AN40" s="1"/>
      <c r="AO40" s="1"/>
      <c r="AP40" s="1"/>
      <c r="AQ40" s="1"/>
      <c r="AR40" s="38">
        <f t="shared" si="8"/>
        <v>534.65</v>
      </c>
      <c r="AS40" s="1"/>
      <c r="AT40" s="1"/>
      <c r="AU40" s="1"/>
      <c r="AV40" s="1"/>
      <c r="AW40" s="1"/>
      <c r="AX40" t="s">
        <v>178</v>
      </c>
      <c r="AY40" s="1"/>
      <c r="AZ40" s="1"/>
      <c r="BA40" s="92"/>
      <c r="BB40" s="92"/>
      <c r="BC40" s="92"/>
      <c r="BD40" s="1"/>
      <c r="BE40" s="1"/>
      <c r="BF40" s="1"/>
      <c r="BG40" s="1"/>
      <c r="BH40" s="1"/>
      <c r="BI40" s="1"/>
      <c r="BJ40" s="128">
        <f>AR40/'RPI_1880-2010'!B40*100</f>
        <v>20313.449848024313</v>
      </c>
    </row>
    <row r="41" spans="1:63" s="9" customFormat="1" ht="13.9" customHeight="1" x14ac:dyDescent="0.25">
      <c r="A41" s="9">
        <v>1919</v>
      </c>
      <c r="B41" s="97">
        <v>555</v>
      </c>
      <c r="C41" s="97">
        <v>15</v>
      </c>
      <c r="D41" s="13">
        <v>5</v>
      </c>
      <c r="E41" s="37">
        <f t="shared" si="4"/>
        <v>555.77083333333337</v>
      </c>
      <c r="F41" s="98">
        <v>707</v>
      </c>
      <c r="G41" s="98">
        <v>11</v>
      </c>
      <c r="H41" s="98">
        <v>0</v>
      </c>
      <c r="I41" s="37">
        <f t="shared" si="3"/>
        <v>707.55</v>
      </c>
      <c r="J41" s="13">
        <v>17</v>
      </c>
      <c r="K41" s="13">
        <v>14</v>
      </c>
      <c r="L41" s="13">
        <v>0</v>
      </c>
      <c r="M41" s="37">
        <f t="shared" si="5"/>
        <v>17.7</v>
      </c>
      <c r="N41" s="99">
        <v>1281</v>
      </c>
      <c r="O41" s="99">
        <v>0</v>
      </c>
      <c r="P41" s="99">
        <v>5</v>
      </c>
      <c r="Q41" s="37">
        <f t="shared" si="6"/>
        <v>1281.0208333333333</v>
      </c>
      <c r="R41" s="38">
        <f t="shared" si="7"/>
        <v>1281.0208333333333</v>
      </c>
      <c r="S41" s="13">
        <v>124</v>
      </c>
      <c r="T41" s="13">
        <v>3</v>
      </c>
      <c r="U41" s="13">
        <v>9</v>
      </c>
      <c r="V41" s="12">
        <f>((240*S41)+(12*T41)+U41)/240</f>
        <v>124.1875</v>
      </c>
      <c r="W41" s="12">
        <f>Q41-V41</f>
        <v>1156.8333333333333</v>
      </c>
      <c r="X41" s="1"/>
      <c r="Y41" s="1"/>
      <c r="Z41" s="1"/>
      <c r="AA41" s="1"/>
      <c r="AB41" s="1"/>
      <c r="AC41" s="1"/>
      <c r="AD41" s="1"/>
      <c r="AE41" s="1"/>
      <c r="AF41" s="1"/>
      <c r="AG41" s="1"/>
      <c r="AH41" s="1"/>
      <c r="AI41" s="1"/>
      <c r="AJ41" s="1"/>
      <c r="AK41" s="1"/>
      <c r="AL41" s="1"/>
      <c r="AM41" s="1"/>
      <c r="AN41" s="1"/>
      <c r="AO41" s="1"/>
      <c r="AP41" s="1"/>
      <c r="AQ41" s="1"/>
      <c r="AR41" s="38">
        <f t="shared" si="8"/>
        <v>1156.8333333333333</v>
      </c>
      <c r="AS41" s="99">
        <f>2156-558</f>
        <v>1598</v>
      </c>
      <c r="AT41" s="99">
        <v>16</v>
      </c>
      <c r="AU41" s="99">
        <v>8</v>
      </c>
      <c r="AV41" s="37">
        <f t="shared" ref="AV41" si="11">((240*AS41)+(12*AT41)+AU41)/240</f>
        <v>1598.8333333333333</v>
      </c>
      <c r="AW41" s="37">
        <f>AR41+BI41</f>
        <v>1598.8333333333333</v>
      </c>
      <c r="AX41" s="98" t="s">
        <v>194</v>
      </c>
      <c r="AY41" s="99">
        <f>1000-558</f>
        <v>442</v>
      </c>
      <c r="AZ41" s="1"/>
      <c r="BA41" s="92"/>
      <c r="BB41" s="92"/>
      <c r="BC41" s="92"/>
      <c r="BD41" s="1"/>
      <c r="BE41" s="1"/>
      <c r="BF41" s="1"/>
      <c r="BG41" s="1"/>
      <c r="BH41" s="1"/>
      <c r="BI41" s="38">
        <f>AY41+AZ41+BD41+BH41</f>
        <v>442</v>
      </c>
      <c r="BJ41" s="128">
        <f>AR41/'RPI_1880-2010'!B41*100</f>
        <v>41463.560334528076</v>
      </c>
      <c r="BK41" s="130">
        <f>AW41/'RPI_1880-2010'!B41*100</f>
        <v>57305.854241338115</v>
      </c>
    </row>
    <row r="42" spans="1:63" x14ac:dyDescent="0.25">
      <c r="A42">
        <v>1920</v>
      </c>
      <c r="B42" s="53">
        <v>883</v>
      </c>
      <c r="C42" s="55">
        <v>3</v>
      </c>
      <c r="D42" s="53">
        <v>0</v>
      </c>
      <c r="E42" s="37">
        <f t="shared" ref="E42:E61" si="12">((240*B42)+(12*C42)+D42)/240</f>
        <v>883.15</v>
      </c>
      <c r="F42" s="54">
        <v>574</v>
      </c>
      <c r="G42" s="54">
        <v>6</v>
      </c>
      <c r="H42" s="54">
        <v>9</v>
      </c>
      <c r="I42" s="37">
        <f>((240*F42)+(12*G42)+H42)/240</f>
        <v>574.33749999999998</v>
      </c>
      <c r="J42" s="54">
        <v>40</v>
      </c>
      <c r="K42" s="54">
        <v>14</v>
      </c>
      <c r="L42" s="54">
        <v>8</v>
      </c>
      <c r="M42" s="37">
        <f>((240*J42)+(12*K42)+L42)/240</f>
        <v>40.733333333333334</v>
      </c>
      <c r="N42" s="13">
        <v>1498</v>
      </c>
      <c r="O42" s="13">
        <v>4</v>
      </c>
      <c r="P42" s="13">
        <v>5</v>
      </c>
      <c r="Q42" s="37">
        <f>((240*N42)+(12*O42)+P42)/240</f>
        <v>1498.2208333333333</v>
      </c>
      <c r="R42" s="38">
        <f t="shared" ref="R42:R59" si="13">E42+I42+M42</f>
        <v>1498.2208333333333</v>
      </c>
      <c r="S42" s="13">
        <v>147</v>
      </c>
      <c r="T42" s="13">
        <v>2</v>
      </c>
      <c r="U42" s="13">
        <v>5</v>
      </c>
      <c r="V42" s="12">
        <f>((240*S42)+(12*T42)+U42)/240</f>
        <v>147.12083333333334</v>
      </c>
      <c r="W42" s="12">
        <f>Q42-V42</f>
        <v>1351.1</v>
      </c>
      <c r="AQ42" s="38">
        <f>AE42+AI42+AM42</f>
        <v>0</v>
      </c>
      <c r="AR42" s="38">
        <f>R42+AQ42-V42+AA42</f>
        <v>1351.1</v>
      </c>
      <c r="AV42" s="37">
        <f t="shared" ref="AV42:AV62" si="14">((240*AS42)+(12*AT42)+AU42)/240</f>
        <v>0</v>
      </c>
      <c r="AW42" s="37">
        <f>AR42+BI42</f>
        <v>1886.1</v>
      </c>
      <c r="AX42" s="19" t="s">
        <v>12</v>
      </c>
      <c r="AY42" s="12">
        <f>1000-465</f>
        <v>535</v>
      </c>
      <c r="AZ42" s="12"/>
      <c r="BA42" s="53"/>
      <c r="BB42" s="53"/>
      <c r="BC42" s="53"/>
      <c r="BD42" s="37">
        <f t="shared" ref="BD42:BD62" si="15">((240*BA42)+(12*BB42)+BC42)/240</f>
        <v>0</v>
      </c>
      <c r="BE42" s="37"/>
      <c r="BF42" s="37"/>
      <c r="BG42" s="37"/>
      <c r="BH42" s="37"/>
      <c r="BI42" s="38">
        <f>AY42+AZ42+BD42+BH42</f>
        <v>535</v>
      </c>
      <c r="BJ42" s="128">
        <f>AR42/'RPI_1880-2010'!B42*100</f>
        <v>42327.69423558897</v>
      </c>
      <c r="BK42" s="130">
        <f>AW42/'RPI_1880-2010'!B42*100</f>
        <v>59088.345864661656</v>
      </c>
    </row>
    <row r="43" spans="1:63" x14ac:dyDescent="0.25">
      <c r="A43">
        <v>1921</v>
      </c>
      <c r="B43" s="53">
        <v>1279</v>
      </c>
      <c r="C43" s="55">
        <v>17</v>
      </c>
      <c r="D43" s="53">
        <v>3</v>
      </c>
      <c r="E43" s="37">
        <f t="shared" si="12"/>
        <v>1279.8625</v>
      </c>
      <c r="F43" s="55">
        <v>875</v>
      </c>
      <c r="G43" s="55">
        <v>2</v>
      </c>
      <c r="H43" s="55">
        <v>10</v>
      </c>
      <c r="I43" s="37">
        <f t="shared" ref="I43:I92" si="16">((240*F43)+(12*G43)+H43)/240</f>
        <v>875.14166666666665</v>
      </c>
      <c r="J43" s="55">
        <v>58</v>
      </c>
      <c r="K43" s="55">
        <v>19</v>
      </c>
      <c r="L43" s="55">
        <v>11</v>
      </c>
      <c r="M43" s="37">
        <f t="shared" ref="M43:M61" si="17">((240*J43)+(12*K43)+L43)/240</f>
        <v>58.99583333333333</v>
      </c>
      <c r="N43" s="12">
        <v>2214</v>
      </c>
      <c r="O43">
        <v>0</v>
      </c>
      <c r="P43" s="12">
        <v>0</v>
      </c>
      <c r="Q43" s="37">
        <f t="shared" ref="Q43:Q51" si="18">((240*N43)+(12*O43)+P43)/240</f>
        <v>2214</v>
      </c>
      <c r="R43" s="38">
        <f t="shared" si="13"/>
        <v>2214</v>
      </c>
      <c r="S43" s="13">
        <v>218</v>
      </c>
      <c r="T43" s="13">
        <v>19</v>
      </c>
      <c r="U43" s="13">
        <v>7</v>
      </c>
      <c r="V43" s="12">
        <f t="shared" ref="V43:V61" si="19">((240*S43)+(12*T43)+U43)/240</f>
        <v>218.97916666666666</v>
      </c>
      <c r="W43" s="12">
        <f t="shared" ref="W43:W90" si="20">Q43-V43</f>
        <v>1995.0208333333333</v>
      </c>
      <c r="X43" s="13">
        <v>0</v>
      </c>
      <c r="AA43">
        <v>0</v>
      </c>
      <c r="AQ43" s="38">
        <f t="shared" ref="AQ43:AQ88" si="21">AE43+AI43+AM43</f>
        <v>0</v>
      </c>
      <c r="AR43" s="38">
        <f t="shared" ref="AR43:AR90" si="22">R43+AQ43-V43+AA43</f>
        <v>1995.0208333333333</v>
      </c>
      <c r="AS43">
        <f>5030-1381-540</f>
        <v>3109</v>
      </c>
      <c r="AT43">
        <f>8-8</f>
        <v>0</v>
      </c>
      <c r="AU43">
        <f>4-1</f>
        <v>3</v>
      </c>
      <c r="AV43" s="37">
        <f t="shared" si="14"/>
        <v>3109.0124999999998</v>
      </c>
      <c r="AW43" s="37">
        <f>AR43+BI43</f>
        <v>3109.0124999999998</v>
      </c>
      <c r="AX43" s="19" t="s">
        <v>33</v>
      </c>
      <c r="AY43" s="12">
        <f>1000-540</f>
        <v>460</v>
      </c>
      <c r="AZ43" s="12"/>
      <c r="BA43" s="53">
        <v>653</v>
      </c>
      <c r="BB43" s="53">
        <v>19</v>
      </c>
      <c r="BC43" s="53">
        <v>10</v>
      </c>
      <c r="BD43" s="37">
        <f t="shared" si="15"/>
        <v>653.99166666666667</v>
      </c>
      <c r="BE43" s="37"/>
      <c r="BF43" s="37"/>
      <c r="BG43" s="37"/>
      <c r="BH43" s="37"/>
      <c r="BI43" s="38">
        <f t="shared" ref="BI43:BI79" si="23">AY43+AZ43+BD43+BH43</f>
        <v>1113.9916666666668</v>
      </c>
      <c r="BJ43" s="128">
        <f>AR43/'RPI_1880-2010'!B43*100</f>
        <v>69031.862745098028</v>
      </c>
      <c r="BK43" s="130">
        <f>AW43/'RPI_1880-2010'!B43*100</f>
        <v>107578.28719723181</v>
      </c>
    </row>
    <row r="44" spans="1:63" x14ac:dyDescent="0.25">
      <c r="A44">
        <v>1922</v>
      </c>
      <c r="B44" s="53">
        <v>818</v>
      </c>
      <c r="C44" s="55">
        <v>1</v>
      </c>
      <c r="D44" s="53">
        <v>11</v>
      </c>
      <c r="E44" s="37">
        <f t="shared" si="12"/>
        <v>818.0958333333333</v>
      </c>
      <c r="F44" s="55">
        <v>1056</v>
      </c>
      <c r="G44" s="55">
        <v>5</v>
      </c>
      <c r="H44" s="55">
        <v>9</v>
      </c>
      <c r="I44" s="37">
        <f t="shared" si="16"/>
        <v>1056.2874999999999</v>
      </c>
      <c r="J44" s="55">
        <v>42</v>
      </c>
      <c r="K44" s="55">
        <v>10</v>
      </c>
      <c r="L44" s="55">
        <v>5</v>
      </c>
      <c r="M44" s="37">
        <f t="shared" si="17"/>
        <v>42.520833333333336</v>
      </c>
      <c r="N44" s="12">
        <v>1916</v>
      </c>
      <c r="O44">
        <v>18</v>
      </c>
      <c r="P44" s="12">
        <v>1</v>
      </c>
      <c r="Q44" s="37">
        <f t="shared" si="18"/>
        <v>1916.9041666666667</v>
      </c>
      <c r="R44" s="38">
        <f t="shared" si="13"/>
        <v>1916.9041666666665</v>
      </c>
      <c r="S44" s="13">
        <v>190</v>
      </c>
      <c r="T44" s="13">
        <v>3</v>
      </c>
      <c r="U44" s="13">
        <v>8</v>
      </c>
      <c r="V44" s="12">
        <f t="shared" si="19"/>
        <v>190.18333333333334</v>
      </c>
      <c r="W44" s="12">
        <f t="shared" si="20"/>
        <v>1726.7208333333333</v>
      </c>
      <c r="AQ44" s="38">
        <f t="shared" si="21"/>
        <v>0</v>
      </c>
      <c r="AR44" s="38">
        <f t="shared" si="22"/>
        <v>1726.7208333333331</v>
      </c>
      <c r="AV44" s="37">
        <f t="shared" si="14"/>
        <v>0</v>
      </c>
      <c r="AW44" s="37"/>
      <c r="AX44" s="19" t="s">
        <v>35</v>
      </c>
      <c r="AY44" s="12"/>
      <c r="AZ44" s="12"/>
      <c r="BA44" s="53"/>
      <c r="BB44" s="53"/>
      <c r="BC44" s="53"/>
      <c r="BD44" s="37">
        <f t="shared" si="15"/>
        <v>0</v>
      </c>
      <c r="BE44" s="37"/>
      <c r="BF44" s="37"/>
      <c r="BG44" s="37"/>
      <c r="BH44" s="37"/>
      <c r="BI44" s="38">
        <f t="shared" si="23"/>
        <v>0</v>
      </c>
      <c r="BJ44" s="128">
        <f>AR44/'RPI_1880-2010'!B44*100</f>
        <v>73540.069562748424</v>
      </c>
      <c r="BK44" s="130"/>
    </row>
    <row r="45" spans="1:63" x14ac:dyDescent="0.25">
      <c r="A45">
        <v>1923</v>
      </c>
      <c r="B45" s="53">
        <v>765</v>
      </c>
      <c r="C45" s="55">
        <v>19</v>
      </c>
      <c r="D45" s="53">
        <v>6</v>
      </c>
      <c r="E45" s="37">
        <f t="shared" si="12"/>
        <v>765.97500000000002</v>
      </c>
      <c r="F45" s="55">
        <v>1436</v>
      </c>
      <c r="G45" s="55">
        <v>3</v>
      </c>
      <c r="H45" s="55">
        <v>2</v>
      </c>
      <c r="I45" s="37">
        <f t="shared" si="16"/>
        <v>1436.1583333333333</v>
      </c>
      <c r="J45" s="58">
        <v>17</v>
      </c>
      <c r="K45" s="55">
        <v>13</v>
      </c>
      <c r="L45" s="55">
        <v>5</v>
      </c>
      <c r="M45" s="37">
        <f t="shared" si="17"/>
        <v>17.670833333333334</v>
      </c>
      <c r="N45" s="12">
        <v>2219</v>
      </c>
      <c r="O45">
        <v>16</v>
      </c>
      <c r="P45" s="12">
        <v>1</v>
      </c>
      <c r="Q45" s="37">
        <f t="shared" si="18"/>
        <v>2219.8041666666668</v>
      </c>
      <c r="R45" s="38">
        <f t="shared" si="13"/>
        <v>2219.8041666666663</v>
      </c>
      <c r="S45" s="13">
        <v>222</v>
      </c>
      <c r="T45" s="13">
        <v>13</v>
      </c>
      <c r="U45" s="13">
        <v>7</v>
      </c>
      <c r="V45" s="12">
        <f t="shared" si="19"/>
        <v>222.67916666666667</v>
      </c>
      <c r="W45" s="12">
        <f t="shared" si="20"/>
        <v>1997.125</v>
      </c>
      <c r="X45" s="13">
        <v>11</v>
      </c>
      <c r="Y45" s="13">
        <v>17</v>
      </c>
      <c r="Z45" s="13">
        <v>2</v>
      </c>
      <c r="AA45" s="37">
        <f>((240*X45)+(12*Y45)+Z45)/240</f>
        <v>11.858333333333333</v>
      </c>
      <c r="AQ45" s="38">
        <f t="shared" si="21"/>
        <v>0</v>
      </c>
      <c r="AR45" s="38">
        <f t="shared" si="22"/>
        <v>2008.9833333333329</v>
      </c>
      <c r="AS45" s="18">
        <f>1997+3065+X45-2477</f>
        <v>2596</v>
      </c>
      <c r="AT45" s="18">
        <f>2+2+Y45-8</f>
        <v>13</v>
      </c>
      <c r="AU45" s="18">
        <f>6+6+Z45-6</f>
        <v>8</v>
      </c>
      <c r="AV45" s="37">
        <f t="shared" si="14"/>
        <v>2596.6833333333334</v>
      </c>
      <c r="AW45" s="66">
        <f t="shared" ref="AW45:AW79" si="24">AR45+BI45</f>
        <v>2596.6833333333329</v>
      </c>
      <c r="AX45" s="19" t="s">
        <v>37</v>
      </c>
      <c r="AY45" s="12">
        <v>60</v>
      </c>
      <c r="AZ45" s="12"/>
      <c r="BA45" s="53">
        <v>527</v>
      </c>
      <c r="BB45" s="53">
        <v>14</v>
      </c>
      <c r="BC45" s="53">
        <v>0</v>
      </c>
      <c r="BD45" s="37">
        <f t="shared" si="15"/>
        <v>527.70000000000005</v>
      </c>
      <c r="BE45" s="37"/>
      <c r="BF45" s="37"/>
      <c r="BG45" s="37"/>
      <c r="BH45" s="37"/>
      <c r="BI45" s="38">
        <f t="shared" si="23"/>
        <v>587.70000000000005</v>
      </c>
      <c r="BJ45" s="128">
        <f>AR45/'RPI_1880-2010'!B45*100</f>
        <v>89367.586002372438</v>
      </c>
      <c r="BK45" s="130">
        <f>AW45/'RPI_1880-2010'!B45*100</f>
        <v>115510.82443653616</v>
      </c>
    </row>
    <row r="46" spans="1:63" x14ac:dyDescent="0.25">
      <c r="A46">
        <v>1924</v>
      </c>
      <c r="B46" s="53">
        <v>1108</v>
      </c>
      <c r="C46" s="55">
        <v>4</v>
      </c>
      <c r="D46" s="53">
        <v>4</v>
      </c>
      <c r="E46" s="37">
        <f t="shared" si="12"/>
        <v>1108.2166666666667</v>
      </c>
      <c r="F46" s="55">
        <v>1615</v>
      </c>
      <c r="G46" s="55">
        <v>17</v>
      </c>
      <c r="H46" s="55">
        <v>0</v>
      </c>
      <c r="I46" s="37">
        <f t="shared" si="16"/>
        <v>1615.85</v>
      </c>
      <c r="J46" s="58">
        <v>21</v>
      </c>
      <c r="K46" s="55">
        <v>3</v>
      </c>
      <c r="L46" s="55">
        <v>11</v>
      </c>
      <c r="M46" s="37">
        <f t="shared" si="17"/>
        <v>21.195833333333333</v>
      </c>
      <c r="N46" s="12">
        <v>2745</v>
      </c>
      <c r="O46">
        <v>5</v>
      </c>
      <c r="P46" s="12">
        <v>3</v>
      </c>
      <c r="Q46" s="37">
        <f t="shared" si="18"/>
        <v>2745.2624999999998</v>
      </c>
      <c r="R46" s="38">
        <f t="shared" si="13"/>
        <v>2745.2624999999998</v>
      </c>
      <c r="S46" s="13">
        <v>273</v>
      </c>
      <c r="T46" s="13">
        <v>15</v>
      </c>
      <c r="U46" s="13">
        <v>7</v>
      </c>
      <c r="V46" s="12">
        <f t="shared" si="19"/>
        <v>273.77916666666664</v>
      </c>
      <c r="W46" s="12">
        <f t="shared" si="20"/>
        <v>2471.4833333333331</v>
      </c>
      <c r="AQ46" s="38">
        <f t="shared" si="21"/>
        <v>0</v>
      </c>
      <c r="AR46" s="38">
        <f t="shared" si="22"/>
        <v>2471.4833333333331</v>
      </c>
      <c r="AV46" s="37">
        <f t="shared" si="14"/>
        <v>0</v>
      </c>
      <c r="AW46" s="37"/>
      <c r="AX46" s="19" t="s">
        <v>38</v>
      </c>
      <c r="AY46" s="12"/>
      <c r="AZ46" s="12"/>
      <c r="BA46" s="53"/>
      <c r="BB46" s="53"/>
      <c r="BC46" s="53"/>
      <c r="BD46" s="37">
        <f t="shared" si="15"/>
        <v>0</v>
      </c>
      <c r="BE46" s="37"/>
      <c r="BF46" s="37"/>
      <c r="BG46" s="37"/>
      <c r="BH46" s="37"/>
      <c r="BI46" s="38">
        <f t="shared" si="23"/>
        <v>0</v>
      </c>
      <c r="BJ46" s="128">
        <f>AR46/'RPI_1880-2010'!B46*100</f>
        <v>109941.42941874257</v>
      </c>
      <c r="BK46" s="130"/>
    </row>
    <row r="47" spans="1:63" x14ac:dyDescent="0.25">
      <c r="A47">
        <v>1925</v>
      </c>
      <c r="B47" s="53">
        <v>1344</v>
      </c>
      <c r="C47" s="55">
        <v>14</v>
      </c>
      <c r="D47" s="53">
        <v>7</v>
      </c>
      <c r="E47" s="37">
        <f t="shared" si="12"/>
        <v>1344.7291666666667</v>
      </c>
      <c r="F47" s="55">
        <v>2366</v>
      </c>
      <c r="G47" s="55">
        <v>12</v>
      </c>
      <c r="H47" s="55">
        <v>6</v>
      </c>
      <c r="I47" s="37">
        <f t="shared" si="16"/>
        <v>2366.625</v>
      </c>
      <c r="J47" s="58">
        <v>21</v>
      </c>
      <c r="K47" s="55">
        <v>6</v>
      </c>
      <c r="L47" s="55">
        <v>8</v>
      </c>
      <c r="M47" s="37">
        <f t="shared" si="17"/>
        <v>21.333333333333332</v>
      </c>
      <c r="N47" s="12">
        <v>3732</v>
      </c>
      <c r="O47">
        <v>13</v>
      </c>
      <c r="P47" s="12">
        <v>9</v>
      </c>
      <c r="Q47" s="37">
        <f t="shared" si="18"/>
        <v>3732.6875</v>
      </c>
      <c r="R47" s="38">
        <f t="shared" si="13"/>
        <v>3732.6875000000005</v>
      </c>
      <c r="S47" s="13">
        <v>373</v>
      </c>
      <c r="T47" s="13">
        <v>0</v>
      </c>
      <c r="U47" s="13">
        <v>10</v>
      </c>
      <c r="V47" s="12">
        <f t="shared" si="19"/>
        <v>373.04166666666669</v>
      </c>
      <c r="W47" s="12">
        <f t="shared" si="20"/>
        <v>3359.6458333333335</v>
      </c>
      <c r="X47" s="54">
        <v>7</v>
      </c>
      <c r="Y47" s="54">
        <v>16</v>
      </c>
      <c r="Z47" s="54">
        <v>10</v>
      </c>
      <c r="AA47" s="37">
        <f>((240*X47)+(12*Y47)+Z47)/240</f>
        <v>7.8416666666666668</v>
      </c>
      <c r="AQ47" s="38">
        <f t="shared" si="21"/>
        <v>0</v>
      </c>
      <c r="AR47" s="38">
        <f t="shared" si="22"/>
        <v>3367.4875000000006</v>
      </c>
      <c r="AS47">
        <f>7+3359+475</f>
        <v>3841</v>
      </c>
      <c r="AT47">
        <f>16+12+7</f>
        <v>35</v>
      </c>
      <c r="AU47">
        <f>10+11+8</f>
        <v>29</v>
      </c>
      <c r="AV47" s="37">
        <f t="shared" si="14"/>
        <v>3842.8708333333334</v>
      </c>
      <c r="AW47" s="66">
        <f t="shared" si="24"/>
        <v>3842.8708333333338</v>
      </c>
      <c r="AX47" s="19" t="s">
        <v>43</v>
      </c>
      <c r="AY47" s="12">
        <f>2500-2500</f>
        <v>0</v>
      </c>
      <c r="AZ47" s="12"/>
      <c r="BA47" s="53">
        <v>475</v>
      </c>
      <c r="BB47" s="53">
        <v>7</v>
      </c>
      <c r="BC47" s="53">
        <v>8</v>
      </c>
      <c r="BD47" s="37">
        <f t="shared" si="15"/>
        <v>475.38333333333333</v>
      </c>
      <c r="BE47" s="37"/>
      <c r="BF47" s="37"/>
      <c r="BG47" s="37"/>
      <c r="BH47" s="37"/>
      <c r="BI47" s="38">
        <f t="shared" si="23"/>
        <v>475.38333333333333</v>
      </c>
      <c r="BJ47" s="128">
        <f>AR47/'RPI_1880-2010'!B47*100</f>
        <v>149799.26601423489</v>
      </c>
      <c r="BK47" s="130">
        <f>AW47/'RPI_1880-2010'!B47*100</f>
        <v>170946.21144721235</v>
      </c>
    </row>
    <row r="48" spans="1:63" x14ac:dyDescent="0.25">
      <c r="A48">
        <v>1926</v>
      </c>
      <c r="B48" s="53">
        <v>1325</v>
      </c>
      <c r="C48" s="55">
        <v>5</v>
      </c>
      <c r="D48" s="53">
        <v>1</v>
      </c>
      <c r="E48" s="37">
        <f t="shared" si="12"/>
        <v>1325.2541666666666</v>
      </c>
      <c r="F48" s="55">
        <v>2671</v>
      </c>
      <c r="G48" s="55">
        <v>16</v>
      </c>
      <c r="H48" s="55">
        <v>2</v>
      </c>
      <c r="I48" s="37">
        <f t="shared" si="16"/>
        <v>2671.8083333333334</v>
      </c>
      <c r="J48" s="58">
        <v>11</v>
      </c>
      <c r="K48" s="55">
        <v>4</v>
      </c>
      <c r="L48" s="55">
        <v>0</v>
      </c>
      <c r="M48" s="37">
        <f t="shared" si="17"/>
        <v>11.2</v>
      </c>
      <c r="N48" s="12">
        <v>4008</v>
      </c>
      <c r="O48">
        <v>5</v>
      </c>
      <c r="P48" s="12">
        <v>3</v>
      </c>
      <c r="Q48" s="37">
        <f t="shared" si="18"/>
        <v>4008.2624999999998</v>
      </c>
      <c r="R48" s="38">
        <f t="shared" si="13"/>
        <v>4008.2624999999998</v>
      </c>
      <c r="S48" s="13">
        <v>400</v>
      </c>
      <c r="T48" s="13">
        <v>17</v>
      </c>
      <c r="U48" s="13">
        <v>3</v>
      </c>
      <c r="V48" s="12">
        <f t="shared" si="19"/>
        <v>400.86250000000001</v>
      </c>
      <c r="W48" s="12">
        <f t="shared" si="20"/>
        <v>3607.3999999999996</v>
      </c>
      <c r="AQ48" s="38">
        <f t="shared" si="21"/>
        <v>0</v>
      </c>
      <c r="AR48" s="38">
        <f t="shared" si="22"/>
        <v>3607.3999999999996</v>
      </c>
      <c r="AV48" s="37">
        <f t="shared" si="14"/>
        <v>0</v>
      </c>
      <c r="AW48" s="37"/>
      <c r="AX48" s="19" t="s">
        <v>44</v>
      </c>
      <c r="AY48" s="12">
        <f>2500-1650</f>
        <v>850</v>
      </c>
      <c r="AZ48" s="12">
        <v>500</v>
      </c>
      <c r="BA48" s="53"/>
      <c r="BB48" s="53"/>
      <c r="BC48" s="53"/>
      <c r="BD48" s="37">
        <f t="shared" si="15"/>
        <v>0</v>
      </c>
      <c r="BE48" s="37"/>
      <c r="BF48" s="37"/>
      <c r="BG48" s="37"/>
      <c r="BH48" s="37"/>
      <c r="BI48" s="38">
        <f t="shared" si="23"/>
        <v>1350</v>
      </c>
      <c r="BJ48" s="128">
        <f>AR48/'RPI_1880-2010'!B48*100</f>
        <v>163304.66274332275</v>
      </c>
      <c r="BK48" s="130"/>
    </row>
    <row r="49" spans="1:63" x14ac:dyDescent="0.25">
      <c r="A49">
        <v>1927</v>
      </c>
      <c r="B49" s="53">
        <v>1085</v>
      </c>
      <c r="C49" s="55">
        <v>17</v>
      </c>
      <c r="D49" s="53">
        <v>5</v>
      </c>
      <c r="E49" s="37">
        <f t="shared" si="12"/>
        <v>1085.8708333333334</v>
      </c>
      <c r="F49" s="55">
        <v>2876</v>
      </c>
      <c r="G49" s="55">
        <v>0</v>
      </c>
      <c r="H49" s="55">
        <v>2</v>
      </c>
      <c r="I49" s="37">
        <f t="shared" si="16"/>
        <v>2876.0083333333332</v>
      </c>
      <c r="J49" s="58">
        <v>19</v>
      </c>
      <c r="K49" s="55">
        <v>15</v>
      </c>
      <c r="L49" s="55">
        <v>0</v>
      </c>
      <c r="M49" s="37">
        <f t="shared" si="17"/>
        <v>19.75</v>
      </c>
      <c r="N49" s="12">
        <v>3981</v>
      </c>
      <c r="O49">
        <v>12</v>
      </c>
      <c r="P49" s="12">
        <v>7</v>
      </c>
      <c r="Q49" s="37">
        <f t="shared" si="18"/>
        <v>3981.6291666666666</v>
      </c>
      <c r="R49" s="38">
        <f t="shared" si="13"/>
        <v>3981.6291666666666</v>
      </c>
      <c r="S49" s="13">
        <v>393</v>
      </c>
      <c r="T49" s="13">
        <v>15</v>
      </c>
      <c r="U49" s="13">
        <v>11</v>
      </c>
      <c r="V49" s="12">
        <f t="shared" si="19"/>
        <v>393.79583333333335</v>
      </c>
      <c r="W49" s="12">
        <f t="shared" si="20"/>
        <v>3587.833333333333</v>
      </c>
      <c r="X49" s="13">
        <v>8</v>
      </c>
      <c r="Y49" s="13">
        <v>10</v>
      </c>
      <c r="Z49" s="13">
        <v>2</v>
      </c>
      <c r="AA49" s="37">
        <f>((240*X49)+(12*Y49)+Z49)/240</f>
        <v>8.5083333333333329</v>
      </c>
      <c r="AQ49" s="38">
        <f t="shared" si="21"/>
        <v>0</v>
      </c>
      <c r="AR49" s="38">
        <f t="shared" si="22"/>
        <v>3596.3416666666662</v>
      </c>
      <c r="AS49">
        <f>8+3587+408+800+1000</f>
        <v>5803</v>
      </c>
      <c r="AT49">
        <f>10+16+17</f>
        <v>43</v>
      </c>
      <c r="AU49">
        <f>2+8+4</f>
        <v>14</v>
      </c>
      <c r="AV49" s="37">
        <f t="shared" si="14"/>
        <v>5805.208333333333</v>
      </c>
      <c r="AW49" s="66">
        <f t="shared" si="24"/>
        <v>5805.208333333333</v>
      </c>
      <c r="AX49" s="19" t="s">
        <v>45</v>
      </c>
      <c r="AY49" s="12">
        <f>2500-1700</f>
        <v>800</v>
      </c>
      <c r="AZ49" s="12">
        <v>1000</v>
      </c>
      <c r="BA49" s="53">
        <v>408</v>
      </c>
      <c r="BB49" s="53">
        <v>17</v>
      </c>
      <c r="BC49" s="53">
        <v>4</v>
      </c>
      <c r="BD49" s="37">
        <f t="shared" si="15"/>
        <v>408.86666666666667</v>
      </c>
      <c r="BE49" s="37"/>
      <c r="BF49" s="37"/>
      <c r="BG49" s="37"/>
      <c r="BH49" s="37"/>
      <c r="BI49" s="38">
        <f t="shared" si="23"/>
        <v>2208.8666666666668</v>
      </c>
      <c r="BJ49" s="128">
        <f>AR49/'RPI_1880-2010'!B49*100</f>
        <v>167427.45189323399</v>
      </c>
      <c r="BK49" s="130">
        <f>AW49/'RPI_1880-2010'!B49*100</f>
        <v>270261.09559279948</v>
      </c>
    </row>
    <row r="50" spans="1:63" x14ac:dyDescent="0.25">
      <c r="A50">
        <v>1928</v>
      </c>
      <c r="B50" s="53">
        <v>1300</v>
      </c>
      <c r="C50" s="55">
        <v>2</v>
      </c>
      <c r="D50" s="53">
        <v>3</v>
      </c>
      <c r="E50" s="37">
        <f t="shared" si="12"/>
        <v>1300.1125</v>
      </c>
      <c r="F50" s="55">
        <v>3238</v>
      </c>
      <c r="G50" s="55">
        <v>3</v>
      </c>
      <c r="H50" s="55">
        <v>2</v>
      </c>
      <c r="I50" s="37">
        <f t="shared" si="16"/>
        <v>3238.1583333333333</v>
      </c>
      <c r="J50" s="58">
        <v>28</v>
      </c>
      <c r="K50" s="55">
        <v>1</v>
      </c>
      <c r="L50" s="55">
        <v>1</v>
      </c>
      <c r="M50" s="37">
        <f t="shared" si="17"/>
        <v>28.054166666666667</v>
      </c>
      <c r="N50" s="12">
        <v>4566</v>
      </c>
      <c r="O50">
        <v>6</v>
      </c>
      <c r="P50" s="12">
        <v>6</v>
      </c>
      <c r="Q50" s="37">
        <f t="shared" si="18"/>
        <v>4566.3249999999998</v>
      </c>
      <c r="R50" s="38">
        <f t="shared" si="13"/>
        <v>4566.3249999999998</v>
      </c>
      <c r="S50" s="13">
        <v>450</v>
      </c>
      <c r="T50" s="13">
        <v>11</v>
      </c>
      <c r="U50" s="13">
        <v>3</v>
      </c>
      <c r="V50" s="12">
        <f t="shared" si="19"/>
        <v>450.5625</v>
      </c>
      <c r="W50" s="12">
        <f t="shared" si="20"/>
        <v>4115.7624999999998</v>
      </c>
      <c r="AQ50" s="38">
        <f t="shared" si="21"/>
        <v>0</v>
      </c>
      <c r="AR50" s="38">
        <f t="shared" si="22"/>
        <v>4115.7624999999998</v>
      </c>
      <c r="AV50" s="37">
        <f t="shared" si="14"/>
        <v>0</v>
      </c>
      <c r="AW50" s="37"/>
      <c r="AX50" s="19" t="s">
        <v>48</v>
      </c>
      <c r="AY50" s="12">
        <f>2500-1695</f>
        <v>805</v>
      </c>
      <c r="AZ50" s="12">
        <v>1000</v>
      </c>
      <c r="BA50" s="53"/>
      <c r="BB50" s="53"/>
      <c r="BC50" s="53"/>
      <c r="BD50" s="37">
        <f t="shared" si="15"/>
        <v>0</v>
      </c>
      <c r="BE50" s="37"/>
      <c r="BF50" s="37"/>
      <c r="BG50" s="37"/>
      <c r="BH50" s="37"/>
      <c r="BI50" s="38">
        <f t="shared" si="23"/>
        <v>1805</v>
      </c>
      <c r="BJ50" s="128">
        <f>AR50/'RPI_1880-2010'!B50*100</f>
        <v>193409.89191729322</v>
      </c>
      <c r="BK50" s="130"/>
    </row>
    <row r="51" spans="1:63" x14ac:dyDescent="0.25">
      <c r="A51">
        <v>1929</v>
      </c>
      <c r="B51" s="53">
        <v>1132</v>
      </c>
      <c r="C51" s="55">
        <v>7</v>
      </c>
      <c r="D51" s="53">
        <v>7</v>
      </c>
      <c r="E51" s="37">
        <f t="shared" si="12"/>
        <v>1132.3791666666666</v>
      </c>
      <c r="F51" s="55">
        <v>4097</v>
      </c>
      <c r="G51" s="55">
        <v>11</v>
      </c>
      <c r="H51" s="55">
        <v>2</v>
      </c>
      <c r="I51" s="37">
        <f t="shared" si="16"/>
        <v>4097.5583333333334</v>
      </c>
      <c r="J51" s="58">
        <v>22</v>
      </c>
      <c r="K51" s="55">
        <v>4</v>
      </c>
      <c r="L51" s="55">
        <v>9</v>
      </c>
      <c r="M51" s="37">
        <f t="shared" si="17"/>
        <v>22.237500000000001</v>
      </c>
      <c r="N51" s="12">
        <v>5252</v>
      </c>
      <c r="O51">
        <v>3</v>
      </c>
      <c r="P51" s="12">
        <v>6</v>
      </c>
      <c r="Q51" s="37">
        <f t="shared" si="18"/>
        <v>5252.1750000000002</v>
      </c>
      <c r="R51" s="38">
        <f t="shared" si="13"/>
        <v>5252.1750000000002</v>
      </c>
      <c r="S51" s="13">
        <v>519</v>
      </c>
      <c r="T51" s="13">
        <v>5</v>
      </c>
      <c r="U51" s="13">
        <v>5</v>
      </c>
      <c r="V51" s="12">
        <f t="shared" si="19"/>
        <v>519.27083333333337</v>
      </c>
      <c r="W51" s="12">
        <f t="shared" si="20"/>
        <v>4732.9041666666672</v>
      </c>
      <c r="AQ51" s="38">
        <f t="shared" si="21"/>
        <v>0</v>
      </c>
      <c r="AR51" s="38">
        <f t="shared" si="22"/>
        <v>4732.9041666666672</v>
      </c>
      <c r="AS51">
        <f>11649-1560-1720-860-311</f>
        <v>7198</v>
      </c>
      <c r="AT51">
        <f>12-16-8-8</f>
        <v>-20</v>
      </c>
      <c r="AU51">
        <f>7-9-5-6</f>
        <v>-13</v>
      </c>
      <c r="AV51" s="37">
        <f t="shared" si="14"/>
        <v>7196.9458333333332</v>
      </c>
      <c r="AW51" s="37">
        <f t="shared" si="24"/>
        <v>7196.9458333333332</v>
      </c>
      <c r="AX51" s="19" t="s">
        <v>49</v>
      </c>
      <c r="AY51" s="12">
        <f>2500-1560</f>
        <v>940</v>
      </c>
      <c r="AZ51" s="12">
        <v>1000</v>
      </c>
      <c r="BA51" s="53">
        <v>524</v>
      </c>
      <c r="BB51" s="53">
        <v>0</v>
      </c>
      <c r="BC51" s="53">
        <v>10</v>
      </c>
      <c r="BD51" s="37">
        <f t="shared" si="15"/>
        <v>524.04166666666663</v>
      </c>
      <c r="BE51" s="37"/>
      <c r="BF51" s="37"/>
      <c r="BG51" s="37"/>
      <c r="BH51" s="37"/>
      <c r="BI51" s="38">
        <f t="shared" si="23"/>
        <v>2464.0416666666665</v>
      </c>
      <c r="BJ51" s="128">
        <f>AR51/'RPI_1880-2010'!B51*100</f>
        <v>224414.61198040147</v>
      </c>
      <c r="BK51" s="130">
        <f>AW51/'RPI_1880-2010'!B51*100</f>
        <v>341249.20973605185</v>
      </c>
    </row>
    <row r="52" spans="1:63" x14ac:dyDescent="0.25">
      <c r="A52">
        <v>1930</v>
      </c>
      <c r="B52" s="53">
        <v>1601</v>
      </c>
      <c r="C52" s="55">
        <v>1</v>
      </c>
      <c r="D52" s="53">
        <v>0</v>
      </c>
      <c r="E52" s="37">
        <f t="shared" si="12"/>
        <v>1601.05</v>
      </c>
      <c r="F52" s="54">
        <v>3932</v>
      </c>
      <c r="G52" s="54">
        <v>10</v>
      </c>
      <c r="H52" s="54">
        <v>8</v>
      </c>
      <c r="I52" s="37">
        <f t="shared" si="16"/>
        <v>3932.5333333333333</v>
      </c>
      <c r="J52" s="54">
        <v>22</v>
      </c>
      <c r="K52" s="54">
        <v>17</v>
      </c>
      <c r="L52" s="54">
        <v>5</v>
      </c>
      <c r="M52" s="37">
        <f t="shared" si="17"/>
        <v>22.870833333333334</v>
      </c>
      <c r="N52" s="13">
        <v>5556</v>
      </c>
      <c r="O52" s="13">
        <v>9</v>
      </c>
      <c r="P52" s="13">
        <v>1</v>
      </c>
      <c r="Q52" s="37">
        <f t="shared" ref="Q52:Q61" si="25">((240*N52)+(12*O52)+P52)/240</f>
        <v>5556.4541666666664</v>
      </c>
      <c r="R52" s="38">
        <f t="shared" si="13"/>
        <v>5556.4541666666664</v>
      </c>
      <c r="S52" s="13">
        <v>553</v>
      </c>
      <c r="T52" s="13">
        <v>12</v>
      </c>
      <c r="U52" s="13">
        <v>10</v>
      </c>
      <c r="V52" s="12">
        <f t="shared" si="19"/>
        <v>553.64166666666665</v>
      </c>
      <c r="W52" s="12">
        <f t="shared" si="20"/>
        <v>5002.8125</v>
      </c>
      <c r="AQ52" s="38">
        <f t="shared" si="21"/>
        <v>0</v>
      </c>
      <c r="AR52" s="38">
        <f t="shared" si="22"/>
        <v>5002.8125</v>
      </c>
      <c r="AV52" s="37">
        <f t="shared" si="14"/>
        <v>0</v>
      </c>
      <c r="AW52" s="37">
        <f t="shared" si="24"/>
        <v>6942.8125</v>
      </c>
      <c r="AX52" s="19" t="s">
        <v>13</v>
      </c>
      <c r="AY52" s="12">
        <f>2500-1560</f>
        <v>940</v>
      </c>
      <c r="AZ52" s="12">
        <v>1000</v>
      </c>
      <c r="BA52" s="53"/>
      <c r="BB52" s="53"/>
      <c r="BC52" s="53"/>
      <c r="BD52" s="37">
        <f t="shared" si="15"/>
        <v>0</v>
      </c>
      <c r="BE52" s="37"/>
      <c r="BF52" s="37"/>
      <c r="BG52" s="37"/>
      <c r="BH52" s="37"/>
      <c r="BI52" s="38">
        <f t="shared" si="23"/>
        <v>1940</v>
      </c>
      <c r="BJ52" s="128">
        <f>AR52/'RPI_1880-2010'!B52*100</f>
        <v>246687.00690335303</v>
      </c>
      <c r="BK52" s="130">
        <f>AW52/'RPI_1880-2010'!B52*100</f>
        <v>342347.75641025638</v>
      </c>
    </row>
    <row r="53" spans="1:63" x14ac:dyDescent="0.25">
      <c r="A53">
        <v>1931</v>
      </c>
      <c r="B53" s="53">
        <v>2061</v>
      </c>
      <c r="C53" s="55">
        <v>15</v>
      </c>
      <c r="D53" s="53">
        <v>10</v>
      </c>
      <c r="E53" s="37">
        <f t="shared" si="12"/>
        <v>2061.7916666666665</v>
      </c>
      <c r="F53" s="59">
        <v>5102</v>
      </c>
      <c r="G53" s="59">
        <v>19</v>
      </c>
      <c r="H53" s="59">
        <v>11</v>
      </c>
      <c r="I53" s="37">
        <f t="shared" si="16"/>
        <v>5102.9958333333334</v>
      </c>
      <c r="J53" s="58">
        <v>15</v>
      </c>
      <c r="K53" s="55">
        <v>1</v>
      </c>
      <c r="L53" s="55">
        <v>6</v>
      </c>
      <c r="M53" s="37">
        <f t="shared" si="17"/>
        <v>15.074999999999999</v>
      </c>
      <c r="N53" s="12">
        <v>7179</v>
      </c>
      <c r="O53">
        <v>17</v>
      </c>
      <c r="P53" s="12">
        <v>3</v>
      </c>
      <c r="Q53" s="51">
        <f t="shared" si="25"/>
        <v>7179.8625000000002</v>
      </c>
      <c r="R53" s="38">
        <f t="shared" si="13"/>
        <v>7179.8625000000002</v>
      </c>
      <c r="S53" s="13">
        <v>717</v>
      </c>
      <c r="T53" s="13">
        <v>7</v>
      </c>
      <c r="U53" s="13">
        <v>1</v>
      </c>
      <c r="V53" s="13">
        <f t="shared" si="19"/>
        <v>717.35416666666663</v>
      </c>
      <c r="W53" s="12">
        <f t="shared" si="20"/>
        <v>6462.5083333333332</v>
      </c>
      <c r="AQ53" s="38">
        <f t="shared" si="21"/>
        <v>0</v>
      </c>
      <c r="AR53" s="38">
        <f t="shared" si="22"/>
        <v>6462.5083333333332</v>
      </c>
      <c r="AS53">
        <f>11124-1365-249-124-211</f>
        <v>9175</v>
      </c>
      <c r="AT53">
        <f>17-16-18-6</f>
        <v>-23</v>
      </c>
      <c r="AU53">
        <f>3-2-1-5</f>
        <v>-5</v>
      </c>
      <c r="AV53" s="37">
        <f t="shared" si="14"/>
        <v>9173.8291666666664</v>
      </c>
      <c r="AW53" s="37">
        <f t="shared" si="24"/>
        <v>9173.8291666666664</v>
      </c>
      <c r="AX53" s="19" t="s">
        <v>51</v>
      </c>
      <c r="AY53" s="13">
        <f>2500-1365</f>
        <v>1135</v>
      </c>
      <c r="AZ53" s="13">
        <v>1000</v>
      </c>
      <c r="BA53" s="54">
        <v>576</v>
      </c>
      <c r="BB53" s="54">
        <v>6</v>
      </c>
      <c r="BC53" s="54">
        <v>5</v>
      </c>
      <c r="BD53" s="37">
        <f t="shared" si="15"/>
        <v>576.32083333333333</v>
      </c>
      <c r="BE53" s="37"/>
      <c r="BF53" s="37"/>
      <c r="BG53" s="37"/>
      <c r="BH53" s="37"/>
      <c r="BI53" s="38">
        <f t="shared" si="23"/>
        <v>2711.3208333333332</v>
      </c>
      <c r="BJ53" s="128">
        <f>AR53/'RPI_1880-2010'!B53*100</f>
        <v>342475.26938703406</v>
      </c>
      <c r="BK53" s="130">
        <f>AW53/'RPI_1880-2010'!B53*100</f>
        <v>486159.46829182119</v>
      </c>
    </row>
    <row r="54" spans="1:63" x14ac:dyDescent="0.25">
      <c r="A54">
        <v>1932</v>
      </c>
      <c r="B54" s="53">
        <v>1892</v>
      </c>
      <c r="C54" s="55">
        <v>15</v>
      </c>
      <c r="D54" s="53">
        <v>11</v>
      </c>
      <c r="E54" s="37">
        <f t="shared" si="12"/>
        <v>1892.7958333333333</v>
      </c>
      <c r="F54" s="59">
        <v>5062</v>
      </c>
      <c r="G54" s="59">
        <v>15</v>
      </c>
      <c r="H54" s="59">
        <v>4</v>
      </c>
      <c r="I54" s="37">
        <f t="shared" si="16"/>
        <v>5062.7666666666664</v>
      </c>
      <c r="J54" s="58">
        <v>17</v>
      </c>
      <c r="K54" s="55">
        <v>1</v>
      </c>
      <c r="L54" s="55">
        <v>0</v>
      </c>
      <c r="M54" s="37">
        <f t="shared" si="17"/>
        <v>17.05</v>
      </c>
      <c r="N54" s="12">
        <v>6972</v>
      </c>
      <c r="O54">
        <v>12</v>
      </c>
      <c r="P54" s="12">
        <v>3</v>
      </c>
      <c r="Q54" s="51">
        <f t="shared" si="25"/>
        <v>6972.6125000000002</v>
      </c>
      <c r="R54" s="38">
        <f t="shared" si="13"/>
        <v>6972.6125000000002</v>
      </c>
      <c r="S54" s="13">
        <v>707</v>
      </c>
      <c r="T54" s="13">
        <v>7</v>
      </c>
      <c r="U54" s="13">
        <v>10</v>
      </c>
      <c r="V54" s="13">
        <f t="shared" si="19"/>
        <v>707.39166666666665</v>
      </c>
      <c r="W54" s="12">
        <f t="shared" si="20"/>
        <v>6265.2208333333338</v>
      </c>
      <c r="X54" s="13">
        <v>6</v>
      </c>
      <c r="Y54" s="13">
        <v>19</v>
      </c>
      <c r="Z54" s="13">
        <v>8</v>
      </c>
      <c r="AA54" s="37">
        <f>((240*X54)+(12*Y54)+Z54)/240</f>
        <v>6.9833333333333334</v>
      </c>
      <c r="AQ54" s="38">
        <f t="shared" si="21"/>
        <v>0</v>
      </c>
      <c r="AR54" s="38">
        <f t="shared" si="22"/>
        <v>6272.2041666666673</v>
      </c>
      <c r="AS54">
        <f>6+6265+648+(2500-1830)+1000</f>
        <v>8589</v>
      </c>
      <c r="AT54">
        <f>19+4+19</f>
        <v>42</v>
      </c>
      <c r="AU54">
        <f>8+5+3</f>
        <v>16</v>
      </c>
      <c r="AV54" s="37">
        <f t="shared" si="14"/>
        <v>8591.1666666666661</v>
      </c>
      <c r="AW54" s="66">
        <f t="shared" si="24"/>
        <v>8591.1666666666679</v>
      </c>
      <c r="AX54" s="19" t="s">
        <v>52</v>
      </c>
      <c r="AY54" s="13">
        <f>2500-1830</f>
        <v>670</v>
      </c>
      <c r="AZ54" s="13">
        <v>1000</v>
      </c>
      <c r="BA54" s="54">
        <v>648</v>
      </c>
      <c r="BB54" s="54">
        <v>19</v>
      </c>
      <c r="BC54" s="54">
        <v>3</v>
      </c>
      <c r="BD54" s="37">
        <f t="shared" si="15"/>
        <v>648.96249999999998</v>
      </c>
      <c r="BE54" s="37"/>
      <c r="BF54" s="37"/>
      <c r="BG54" s="37"/>
      <c r="BH54" s="37"/>
      <c r="BI54" s="38">
        <f t="shared" si="23"/>
        <v>2318.9625000000001</v>
      </c>
      <c r="BJ54" s="128">
        <f>AR54/'RPI_1880-2010'!B54*100</f>
        <v>339588.74751849851</v>
      </c>
      <c r="BK54" s="130">
        <f>AW54/'RPI_1880-2010'!B54*100</f>
        <v>465141.67117848771</v>
      </c>
    </row>
    <row r="55" spans="1:63" x14ac:dyDescent="0.25">
      <c r="A55">
        <v>1933</v>
      </c>
      <c r="B55" s="53">
        <v>2084</v>
      </c>
      <c r="C55" s="55">
        <v>6</v>
      </c>
      <c r="D55" s="53">
        <v>1</v>
      </c>
      <c r="E55" s="37">
        <f t="shared" si="12"/>
        <v>2084.3041666666668</v>
      </c>
      <c r="F55" s="59">
        <v>5125</v>
      </c>
      <c r="G55" s="59">
        <v>2</v>
      </c>
      <c r="H55" s="59">
        <v>1</v>
      </c>
      <c r="I55" s="37">
        <f t="shared" si="16"/>
        <v>5125.104166666667</v>
      </c>
      <c r="J55" s="58">
        <v>14</v>
      </c>
      <c r="K55" s="55">
        <v>0</v>
      </c>
      <c r="L55" s="55">
        <v>6</v>
      </c>
      <c r="M55" s="37">
        <f t="shared" si="17"/>
        <v>14.025</v>
      </c>
      <c r="N55" s="12">
        <v>7223</v>
      </c>
      <c r="O55">
        <v>8</v>
      </c>
      <c r="P55" s="12">
        <v>8</v>
      </c>
      <c r="Q55" s="51">
        <f t="shared" si="25"/>
        <v>7223.4333333333334</v>
      </c>
      <c r="R55" s="38">
        <f t="shared" si="13"/>
        <v>7223.4333333333334</v>
      </c>
      <c r="S55" s="13">
        <v>720</v>
      </c>
      <c r="T55" s="13">
        <v>16</v>
      </c>
      <c r="U55" s="13">
        <v>4</v>
      </c>
      <c r="V55" s="13">
        <f t="shared" si="19"/>
        <v>720.81666666666672</v>
      </c>
      <c r="W55" s="12">
        <f t="shared" si="20"/>
        <v>6502.6166666666668</v>
      </c>
      <c r="AQ55" s="38">
        <f t="shared" si="21"/>
        <v>0</v>
      </c>
      <c r="AR55" s="38">
        <f t="shared" si="22"/>
        <v>6502.6166666666668</v>
      </c>
      <c r="AS55">
        <f>11691-1840-650-325-120</f>
        <v>8756</v>
      </c>
      <c r="AT55">
        <f>18-19-9-4</f>
        <v>-14</v>
      </c>
      <c r="AU55">
        <f>9-8-10-7</f>
        <v>-16</v>
      </c>
      <c r="AV55" s="37">
        <f t="shared" si="14"/>
        <v>8755.2333333333336</v>
      </c>
      <c r="AW55" s="37">
        <f t="shared" si="24"/>
        <v>8755.2333333333336</v>
      </c>
      <c r="AX55" s="19" t="s">
        <v>53</v>
      </c>
      <c r="AY55" s="13">
        <f>2500-1840</f>
        <v>660</v>
      </c>
      <c r="AZ55" s="13">
        <v>1000</v>
      </c>
      <c r="BA55" s="54">
        <v>592</v>
      </c>
      <c r="BB55" s="54">
        <v>12</v>
      </c>
      <c r="BC55" s="54">
        <v>4</v>
      </c>
      <c r="BD55" s="37">
        <f t="shared" si="15"/>
        <v>592.61666666666667</v>
      </c>
      <c r="BE55" s="37"/>
      <c r="BF55" s="37"/>
      <c r="BG55" s="37"/>
      <c r="BH55" s="37"/>
      <c r="BI55" s="38">
        <f t="shared" si="23"/>
        <v>2252.6166666666668</v>
      </c>
      <c r="BJ55" s="128">
        <f>AR55/'RPI_1880-2010'!B55*100</f>
        <v>360056.29383536358</v>
      </c>
      <c r="BK55" s="130">
        <f>AW55/'RPI_1880-2010'!B55*100</f>
        <v>484785.89885566628</v>
      </c>
    </row>
    <row r="56" spans="1:63" x14ac:dyDescent="0.25">
      <c r="A56">
        <v>1934</v>
      </c>
      <c r="B56" s="53">
        <v>2512</v>
      </c>
      <c r="C56" s="55">
        <v>18</v>
      </c>
      <c r="D56" s="53">
        <v>11</v>
      </c>
      <c r="E56" s="37">
        <f t="shared" si="12"/>
        <v>2512.9458333333332</v>
      </c>
      <c r="F56" s="59">
        <v>6298</v>
      </c>
      <c r="G56" s="59">
        <v>12</v>
      </c>
      <c r="H56" s="59">
        <v>11</v>
      </c>
      <c r="I56" s="37">
        <f t="shared" si="16"/>
        <v>6298.645833333333</v>
      </c>
      <c r="J56" s="58">
        <v>24</v>
      </c>
      <c r="K56" s="55">
        <v>6</v>
      </c>
      <c r="L56" s="55">
        <v>0</v>
      </c>
      <c r="M56" s="37">
        <f t="shared" si="17"/>
        <v>24.3</v>
      </c>
      <c r="N56" s="12">
        <v>8835</v>
      </c>
      <c r="O56">
        <v>17</v>
      </c>
      <c r="P56" s="12">
        <v>10</v>
      </c>
      <c r="Q56" s="51">
        <f t="shared" si="25"/>
        <v>8835.8916666666664</v>
      </c>
      <c r="R56" s="38">
        <f t="shared" si="13"/>
        <v>8835.8916666666664</v>
      </c>
      <c r="S56" s="13">
        <v>881</v>
      </c>
      <c r="T56" s="13">
        <v>3</v>
      </c>
      <c r="U56" s="13">
        <v>10</v>
      </c>
      <c r="V56" s="13">
        <f t="shared" si="19"/>
        <v>881.19166666666672</v>
      </c>
      <c r="W56" s="12">
        <f t="shared" si="20"/>
        <v>7954.7</v>
      </c>
      <c r="X56" s="13">
        <v>8</v>
      </c>
      <c r="Y56" s="13">
        <v>4</v>
      </c>
      <c r="Z56" s="13">
        <v>6</v>
      </c>
      <c r="AA56" s="37">
        <f>((240*X56)+(12*Y56)+Z56)/240</f>
        <v>8.2249999999999996</v>
      </c>
      <c r="AQ56" s="38">
        <f t="shared" si="21"/>
        <v>0</v>
      </c>
      <c r="AR56" s="38">
        <f t="shared" si="22"/>
        <v>7962.9250000000002</v>
      </c>
      <c r="AS56">
        <f>8+10417</f>
        <v>10425</v>
      </c>
      <c r="AT56">
        <f>4+8</f>
        <v>12</v>
      </c>
      <c r="AU56">
        <f>6+5</f>
        <v>11</v>
      </c>
      <c r="AV56" s="37">
        <f t="shared" si="14"/>
        <v>10425.645833333334</v>
      </c>
      <c r="AW56" s="66">
        <f t="shared" si="24"/>
        <v>10425.645833333334</v>
      </c>
      <c r="AX56" s="19" t="s">
        <v>93</v>
      </c>
      <c r="AY56" s="13">
        <v>870</v>
      </c>
      <c r="AZ56" s="13">
        <v>1000</v>
      </c>
      <c r="BA56" s="54">
        <v>592</v>
      </c>
      <c r="BB56" s="54">
        <v>14</v>
      </c>
      <c r="BC56" s="54">
        <v>5</v>
      </c>
      <c r="BD56" s="37">
        <f t="shared" si="15"/>
        <v>592.7208333333333</v>
      </c>
      <c r="BE56" s="37"/>
      <c r="BF56" s="37"/>
      <c r="BG56" s="37"/>
      <c r="BH56" s="37"/>
      <c r="BI56" s="38">
        <f t="shared" si="23"/>
        <v>2462.7208333333333</v>
      </c>
      <c r="BJ56" s="128">
        <f>AR56/'RPI_1880-2010'!B56*100</f>
        <v>440915.00553709856</v>
      </c>
      <c r="BK56" s="130">
        <f>AW56/'RPI_1880-2010'!B56*100</f>
        <v>577278.28534514585</v>
      </c>
    </row>
    <row r="57" spans="1:63" x14ac:dyDescent="0.25">
      <c r="A57">
        <v>1935</v>
      </c>
      <c r="B57" s="53">
        <v>2971</v>
      </c>
      <c r="C57" s="55">
        <v>7</v>
      </c>
      <c r="D57" s="53">
        <v>3</v>
      </c>
      <c r="E57" s="37">
        <f t="shared" si="12"/>
        <v>2971.3625000000002</v>
      </c>
      <c r="F57" s="59">
        <v>6142</v>
      </c>
      <c r="G57" s="59">
        <v>7</v>
      </c>
      <c r="H57" s="59">
        <v>5</v>
      </c>
      <c r="I57" s="37">
        <f t="shared" si="16"/>
        <v>6142.3708333333334</v>
      </c>
      <c r="J57" s="58">
        <v>20</v>
      </c>
      <c r="K57" s="55">
        <v>11</v>
      </c>
      <c r="L57" s="55">
        <v>11</v>
      </c>
      <c r="M57" s="37">
        <f t="shared" si="17"/>
        <v>20.595833333333335</v>
      </c>
      <c r="N57" s="12">
        <v>9134</v>
      </c>
      <c r="O57">
        <v>6</v>
      </c>
      <c r="P57" s="12">
        <v>7</v>
      </c>
      <c r="Q57" s="51">
        <f t="shared" si="25"/>
        <v>9134.3291666666664</v>
      </c>
      <c r="R57" s="38">
        <f t="shared" si="13"/>
        <v>9134.3291666666664</v>
      </c>
      <c r="S57" s="13">
        <v>912</v>
      </c>
      <c r="T57" s="13">
        <v>5</v>
      </c>
      <c r="U57" s="13">
        <v>4</v>
      </c>
      <c r="V57" s="13">
        <f t="shared" si="19"/>
        <v>912.26666666666665</v>
      </c>
      <c r="W57" s="12">
        <f t="shared" si="20"/>
        <v>8222.0625</v>
      </c>
      <c r="X57" s="13">
        <v>5</v>
      </c>
      <c r="Y57" s="13">
        <v>19</v>
      </c>
      <c r="Z57" s="13">
        <v>0</v>
      </c>
      <c r="AA57" s="37">
        <f>((240*X57)+(12*Y57)+Z57)/240</f>
        <v>5.95</v>
      </c>
      <c r="AQ57" s="38">
        <f t="shared" si="21"/>
        <v>0</v>
      </c>
      <c r="AR57" s="38">
        <f t="shared" si="22"/>
        <v>8228.0125000000007</v>
      </c>
      <c r="AS57">
        <f>11815-226-760-380+5</f>
        <v>10454</v>
      </c>
      <c r="AT57">
        <f>13-14-1-0+19</f>
        <v>17</v>
      </c>
      <c r="AU57">
        <f>2-4-2-6+0</f>
        <v>-10</v>
      </c>
      <c r="AV57" s="37">
        <f t="shared" si="14"/>
        <v>10454.808333333332</v>
      </c>
      <c r="AW57" s="66">
        <f t="shared" si="24"/>
        <v>10454.808333333334</v>
      </c>
      <c r="AX57" s="19" t="s">
        <v>91</v>
      </c>
      <c r="AY57" s="13">
        <v>750</v>
      </c>
      <c r="AZ57" s="13">
        <v>1000</v>
      </c>
      <c r="BA57" s="54">
        <v>476</v>
      </c>
      <c r="BB57" s="54">
        <v>15</v>
      </c>
      <c r="BC57" s="54">
        <v>11</v>
      </c>
      <c r="BD57" s="37">
        <f t="shared" si="15"/>
        <v>476.79583333333335</v>
      </c>
      <c r="BE57" s="37"/>
      <c r="BF57" s="37"/>
      <c r="BG57" s="37"/>
      <c r="BH57" s="37"/>
      <c r="BI57" s="38">
        <f t="shared" si="23"/>
        <v>2226.7958333333336</v>
      </c>
      <c r="BJ57" s="128">
        <f>AR57/'RPI_1880-2010'!B57*100</f>
        <v>445479.83216025995</v>
      </c>
      <c r="BK57" s="130">
        <f>AW57/'RPI_1880-2010'!B57*100</f>
        <v>566042.6818263852</v>
      </c>
    </row>
    <row r="58" spans="1:63" x14ac:dyDescent="0.25">
      <c r="A58" s="9">
        <v>1936</v>
      </c>
      <c r="B58" s="53">
        <v>2045</v>
      </c>
      <c r="C58" s="55">
        <v>16</v>
      </c>
      <c r="D58" s="53">
        <v>2</v>
      </c>
      <c r="E58" s="37">
        <f t="shared" si="12"/>
        <v>2045.8083333333334</v>
      </c>
      <c r="F58" s="59">
        <v>7010</v>
      </c>
      <c r="G58" s="59">
        <v>8</v>
      </c>
      <c r="H58" s="59">
        <v>6</v>
      </c>
      <c r="I58" s="37">
        <f t="shared" si="16"/>
        <v>7010.4250000000002</v>
      </c>
      <c r="J58" s="72">
        <v>23</v>
      </c>
      <c r="K58" s="72">
        <v>6</v>
      </c>
      <c r="L58" s="72">
        <v>5</v>
      </c>
      <c r="M58" s="37">
        <f t="shared" si="17"/>
        <v>23.320833333333333</v>
      </c>
      <c r="N58" s="13">
        <v>9079</v>
      </c>
      <c r="O58" s="13">
        <v>11</v>
      </c>
      <c r="P58" s="13">
        <v>1</v>
      </c>
      <c r="Q58" s="51">
        <f t="shared" si="25"/>
        <v>9079.5541666666668</v>
      </c>
      <c r="R58" s="38">
        <f t="shared" si="13"/>
        <v>9079.5541666666668</v>
      </c>
      <c r="S58" s="13">
        <v>904</v>
      </c>
      <c r="T58" s="13">
        <v>9</v>
      </c>
      <c r="U58" s="13">
        <v>1</v>
      </c>
      <c r="V58" s="13">
        <f t="shared" si="19"/>
        <v>904.45416666666665</v>
      </c>
      <c r="W58" s="12">
        <f t="shared" si="20"/>
        <v>8175.1</v>
      </c>
      <c r="X58" s="13">
        <v>4</v>
      </c>
      <c r="Y58" s="13">
        <v>4</v>
      </c>
      <c r="Z58" s="13">
        <v>2</v>
      </c>
      <c r="AA58" s="37">
        <f>((240*X58)+(12*Y58)+Z58)/240</f>
        <v>4.208333333333333</v>
      </c>
      <c r="AQ58" s="38">
        <f t="shared" si="21"/>
        <v>0</v>
      </c>
      <c r="AR58" s="38">
        <f t="shared" si="22"/>
        <v>8179.3083333333334</v>
      </c>
      <c r="AS58">
        <f>4+11436-1006-503</f>
        <v>9931</v>
      </c>
      <c r="AT58">
        <f>4+14-9-4</f>
        <v>5</v>
      </c>
      <c r="AU58">
        <f>2+6-10-11</f>
        <v>-13</v>
      </c>
      <c r="AV58" s="37">
        <f t="shared" si="14"/>
        <v>9931.1958333333332</v>
      </c>
      <c r="AW58" s="66">
        <f t="shared" si="24"/>
        <v>9931.1958333333332</v>
      </c>
      <c r="AX58" s="19" t="s">
        <v>95</v>
      </c>
      <c r="AY58" s="13">
        <v>725</v>
      </c>
      <c r="AZ58" s="13">
        <v>500</v>
      </c>
      <c r="BA58" s="54">
        <v>526</v>
      </c>
      <c r="BB58" s="54">
        <v>17</v>
      </c>
      <c r="BC58" s="54">
        <v>9</v>
      </c>
      <c r="BD58" s="37">
        <f t="shared" si="15"/>
        <v>526.88750000000005</v>
      </c>
      <c r="BE58" s="37"/>
      <c r="BF58" s="37"/>
      <c r="BG58" s="37"/>
      <c r="BH58" s="37"/>
      <c r="BI58" s="38">
        <f t="shared" si="23"/>
        <v>1751.8875</v>
      </c>
      <c r="BJ58" s="128">
        <f>AR58/'RPI_1880-2010'!B58*100</f>
        <v>433455.66154389683</v>
      </c>
      <c r="BK58" s="130">
        <f>AW58/'RPI_1880-2010'!B58*100</f>
        <v>526295.48666313372</v>
      </c>
    </row>
    <row r="59" spans="1:63" x14ac:dyDescent="0.25">
      <c r="A59">
        <v>1937</v>
      </c>
      <c r="B59" s="53">
        <v>1875</v>
      </c>
      <c r="C59" s="55">
        <v>15</v>
      </c>
      <c r="D59" s="53">
        <v>4</v>
      </c>
      <c r="E59" s="37">
        <f t="shared" si="12"/>
        <v>1875.7666666666667</v>
      </c>
      <c r="F59" s="59">
        <v>6888</v>
      </c>
      <c r="G59" s="59">
        <v>16</v>
      </c>
      <c r="H59" s="59">
        <v>1</v>
      </c>
      <c r="I59" s="37">
        <f t="shared" si="16"/>
        <v>6888.8041666666668</v>
      </c>
      <c r="J59" s="72">
        <v>19</v>
      </c>
      <c r="K59" s="72">
        <v>5</v>
      </c>
      <c r="L59" s="72">
        <v>8</v>
      </c>
      <c r="M59" s="37">
        <f t="shared" si="17"/>
        <v>19.283333333333335</v>
      </c>
      <c r="N59" s="13">
        <v>8783</v>
      </c>
      <c r="O59" s="13">
        <v>17</v>
      </c>
      <c r="P59" s="13">
        <v>1</v>
      </c>
      <c r="Q59" s="51">
        <f t="shared" si="25"/>
        <v>8783.8541666666661</v>
      </c>
      <c r="R59" s="38">
        <f t="shared" si="13"/>
        <v>8783.8541666666661</v>
      </c>
      <c r="S59" s="13">
        <v>874</v>
      </c>
      <c r="T59" s="13">
        <v>2</v>
      </c>
      <c r="U59" s="13">
        <v>9</v>
      </c>
      <c r="V59" s="13">
        <f t="shared" si="19"/>
        <v>874.13750000000005</v>
      </c>
      <c r="W59" s="12">
        <f t="shared" si="20"/>
        <v>7909.7166666666662</v>
      </c>
      <c r="X59" t="s">
        <v>97</v>
      </c>
      <c r="AQ59" s="38">
        <f t="shared" si="21"/>
        <v>0</v>
      </c>
      <c r="AR59" s="38">
        <f t="shared" si="22"/>
        <v>7909.7166666666662</v>
      </c>
      <c r="AS59">
        <f>11227-1045-522</f>
        <v>9660</v>
      </c>
      <c r="AT59">
        <f>4-19-19</f>
        <v>-34</v>
      </c>
      <c r="AU59">
        <f>4-0-7</f>
        <v>-3</v>
      </c>
      <c r="AV59" s="37">
        <f t="shared" si="14"/>
        <v>9658.2875000000004</v>
      </c>
      <c r="AW59" s="37">
        <f t="shared" si="24"/>
        <v>9658.2874999999985</v>
      </c>
      <c r="AX59" s="19" t="s">
        <v>98</v>
      </c>
      <c r="AY59" s="13">
        <v>725</v>
      </c>
      <c r="AZ59" s="13">
        <v>500</v>
      </c>
      <c r="BA59" s="54">
        <v>523</v>
      </c>
      <c r="BB59" s="54">
        <v>11</v>
      </c>
      <c r="BC59" s="54">
        <v>5</v>
      </c>
      <c r="BD59" s="37">
        <f t="shared" si="15"/>
        <v>523.57083333333333</v>
      </c>
      <c r="BE59" s="37"/>
      <c r="BF59" s="37"/>
      <c r="BG59" s="37"/>
      <c r="BH59" s="37"/>
      <c r="BI59" s="38">
        <f t="shared" si="23"/>
        <v>1748.5708333333332</v>
      </c>
      <c r="BJ59" s="128">
        <f>AR59/'RPI_1880-2010'!B59*100</f>
        <v>398073.30984734098</v>
      </c>
      <c r="BK59" s="130">
        <f>AW59/'RPI_1880-2010'!B59*100</f>
        <v>486073.85505787609</v>
      </c>
    </row>
    <row r="60" spans="1:63" x14ac:dyDescent="0.25">
      <c r="A60">
        <v>1938</v>
      </c>
      <c r="B60" s="53">
        <v>1175</v>
      </c>
      <c r="C60" s="55">
        <v>6</v>
      </c>
      <c r="D60" s="53">
        <v>10</v>
      </c>
      <c r="E60" s="37">
        <f t="shared" si="12"/>
        <v>1175.3416666666667</v>
      </c>
      <c r="F60" s="59">
        <v>8174</v>
      </c>
      <c r="G60" s="59">
        <v>17</v>
      </c>
      <c r="H60" s="59">
        <v>2</v>
      </c>
      <c r="I60" s="37">
        <f t="shared" si="16"/>
        <v>8174.8583333333336</v>
      </c>
      <c r="J60" s="72">
        <v>22</v>
      </c>
      <c r="K60" s="72">
        <v>15</v>
      </c>
      <c r="L60" s="72">
        <v>9</v>
      </c>
      <c r="M60" s="37">
        <f t="shared" si="17"/>
        <v>22.787500000000001</v>
      </c>
      <c r="N60" s="13">
        <v>9372</v>
      </c>
      <c r="O60" s="13">
        <v>19</v>
      </c>
      <c r="P60" s="13">
        <v>9</v>
      </c>
      <c r="Q60" s="51">
        <f t="shared" si="25"/>
        <v>9372.9874999999993</v>
      </c>
      <c r="R60" s="38">
        <f>E60+I60+M60</f>
        <v>9372.9875000000011</v>
      </c>
      <c r="S60" s="13">
        <v>881</v>
      </c>
      <c r="T60" s="13">
        <v>6</v>
      </c>
      <c r="U60" s="13">
        <v>4</v>
      </c>
      <c r="V60" s="13">
        <f t="shared" si="19"/>
        <v>881.31666666666672</v>
      </c>
      <c r="W60" s="12">
        <f t="shared" si="20"/>
        <v>8491.6708333333318</v>
      </c>
      <c r="X60" s="103" t="s">
        <v>228</v>
      </c>
      <c r="AQ60" s="38">
        <f t="shared" si="21"/>
        <v>0</v>
      </c>
      <c r="AR60" s="38">
        <f t="shared" si="22"/>
        <v>8491.6708333333336</v>
      </c>
      <c r="AS60">
        <f>10485-73-36</f>
        <v>10376</v>
      </c>
      <c r="AT60">
        <f>12-15-17</f>
        <v>-20</v>
      </c>
      <c r="AU60">
        <f>1-9-10</f>
        <v>-18</v>
      </c>
      <c r="AV60" s="37">
        <f t="shared" si="14"/>
        <v>10374.924999999999</v>
      </c>
      <c r="AW60" s="37">
        <f t="shared" si="24"/>
        <v>10374.924999999999</v>
      </c>
      <c r="AX60" s="19" t="s">
        <v>103</v>
      </c>
      <c r="AY60" s="13">
        <v>863</v>
      </c>
      <c r="AZ60" s="13">
        <v>500</v>
      </c>
      <c r="BA60" s="54">
        <v>520</v>
      </c>
      <c r="BB60" s="54">
        <v>5</v>
      </c>
      <c r="BC60" s="54">
        <v>1</v>
      </c>
      <c r="BD60" s="37">
        <f t="shared" si="15"/>
        <v>520.25416666666672</v>
      </c>
      <c r="BE60" s="37"/>
      <c r="BF60" s="37"/>
      <c r="BG60" s="37"/>
      <c r="BH60" s="37"/>
      <c r="BI60" s="38">
        <f t="shared" si="23"/>
        <v>1883.2541666666666</v>
      </c>
      <c r="BJ60" s="128">
        <f>AR60/'RPI_1880-2010'!B60*100</f>
        <v>422891.97377158032</v>
      </c>
      <c r="BK60" s="130">
        <f>AW60/'RPI_1880-2010'!B60*100</f>
        <v>516679.53187250998</v>
      </c>
    </row>
    <row r="61" spans="1:63" x14ac:dyDescent="0.25">
      <c r="A61">
        <v>1939</v>
      </c>
      <c r="B61" s="53">
        <v>1902</v>
      </c>
      <c r="C61" s="55">
        <v>12</v>
      </c>
      <c r="D61" s="53">
        <v>9</v>
      </c>
      <c r="E61" s="37">
        <f t="shared" si="12"/>
        <v>1902.6375</v>
      </c>
      <c r="F61" s="59">
        <v>5244</v>
      </c>
      <c r="G61" s="59">
        <v>14</v>
      </c>
      <c r="H61" s="59">
        <v>11</v>
      </c>
      <c r="I61" s="37">
        <f t="shared" si="16"/>
        <v>5244.7458333333334</v>
      </c>
      <c r="J61" s="72">
        <v>7</v>
      </c>
      <c r="K61" s="72">
        <v>12</v>
      </c>
      <c r="L61" s="72">
        <v>9</v>
      </c>
      <c r="M61" s="37">
        <f t="shared" si="17"/>
        <v>7.6375000000000002</v>
      </c>
      <c r="N61" s="13">
        <v>7155</v>
      </c>
      <c r="O61" s="13">
        <v>0</v>
      </c>
      <c r="P61" s="13">
        <v>5</v>
      </c>
      <c r="Q61" s="51">
        <f t="shared" si="25"/>
        <v>7155.020833333333</v>
      </c>
      <c r="R61" s="38">
        <f>E61+I61+M61</f>
        <v>7155.020833333333</v>
      </c>
      <c r="S61" s="13">
        <v>712</v>
      </c>
      <c r="T61" s="13">
        <v>5</v>
      </c>
      <c r="U61" s="13">
        <v>2</v>
      </c>
      <c r="V61" s="13">
        <f t="shared" si="19"/>
        <v>712.25833333333333</v>
      </c>
      <c r="W61" s="12">
        <f t="shared" si="20"/>
        <v>6442.7624999999998</v>
      </c>
      <c r="AQ61" s="38">
        <f t="shared" si="21"/>
        <v>0</v>
      </c>
      <c r="AR61" s="38">
        <f t="shared" si="22"/>
        <v>6442.7624999999998</v>
      </c>
      <c r="AS61">
        <f>8710-845-422</f>
        <v>7443</v>
      </c>
      <c r="AT61">
        <f>5-19-19</f>
        <v>-33</v>
      </c>
      <c r="AU61">
        <f>2-5-8</f>
        <v>-11</v>
      </c>
      <c r="AV61" s="37">
        <f t="shared" si="14"/>
        <v>7441.3041666666668</v>
      </c>
      <c r="AW61" s="37">
        <f t="shared" si="24"/>
        <v>7441.3041666666668</v>
      </c>
      <c r="AX61" s="19" t="s">
        <v>101</v>
      </c>
      <c r="AY61" s="13">
        <v>590</v>
      </c>
      <c r="AZ61" s="13">
        <v>0</v>
      </c>
      <c r="BA61" s="54">
        <v>408</v>
      </c>
      <c r="BB61" s="54">
        <v>10</v>
      </c>
      <c r="BC61" s="54">
        <v>10</v>
      </c>
      <c r="BD61" s="37">
        <f t="shared" si="15"/>
        <v>408.54166666666669</v>
      </c>
      <c r="BE61" s="37"/>
      <c r="BF61" s="37"/>
      <c r="BG61" s="37"/>
      <c r="BH61" s="37"/>
      <c r="BI61" s="38">
        <f t="shared" si="23"/>
        <v>998.54166666666674</v>
      </c>
      <c r="BJ61" s="128">
        <f>AR61/'RPI_1880-2010'!B61*100</f>
        <v>311545.57543520309</v>
      </c>
      <c r="BK61" s="130">
        <f>AW61/'RPI_1880-2010'!B61*100</f>
        <v>359830.9558349452</v>
      </c>
    </row>
    <row r="62" spans="1:63" x14ac:dyDescent="0.25">
      <c r="A62">
        <v>1940</v>
      </c>
      <c r="B62" s="53">
        <v>1066</v>
      </c>
      <c r="C62" s="55">
        <v>2</v>
      </c>
      <c r="D62" s="53">
        <v>6</v>
      </c>
      <c r="E62" s="37">
        <f t="shared" ref="E62:E75" si="26">((240*B62)+(12*C62)+D62)/240</f>
        <v>1066.125</v>
      </c>
      <c r="F62" s="54">
        <v>5417</v>
      </c>
      <c r="G62" s="54">
        <v>1</v>
      </c>
      <c r="H62" s="54">
        <v>10</v>
      </c>
      <c r="I62" s="37">
        <f t="shared" si="16"/>
        <v>5417.0916666666662</v>
      </c>
      <c r="J62" s="55">
        <v>4</v>
      </c>
      <c r="K62" s="55">
        <v>2</v>
      </c>
      <c r="L62" s="55">
        <v>9</v>
      </c>
      <c r="M62" s="37">
        <f t="shared" ref="M62:M75" si="27">((240*J62)+(12*K62)+L62)/240</f>
        <v>4.1375000000000002</v>
      </c>
      <c r="N62" s="13">
        <v>6487</v>
      </c>
      <c r="O62" s="13">
        <v>7</v>
      </c>
      <c r="P62" s="13">
        <v>1</v>
      </c>
      <c r="Q62" s="37">
        <f t="shared" ref="Q62:Q68" si="28">((240*N62)+(12*O62)+P62)/240</f>
        <v>6487.354166666667</v>
      </c>
      <c r="R62" s="38">
        <f t="shared" ref="R62:R68" si="29">E62+I62+M62</f>
        <v>6487.3541666666661</v>
      </c>
      <c r="S62" s="13">
        <v>643</v>
      </c>
      <c r="T62" s="13">
        <v>6</v>
      </c>
      <c r="U62" s="13">
        <v>7</v>
      </c>
      <c r="V62" s="13">
        <f t="shared" ref="V62:V76" si="30">((240*S62)+(12*T62)+U62)/240</f>
        <v>643.32916666666665</v>
      </c>
      <c r="W62" s="12">
        <f t="shared" si="20"/>
        <v>5844.0250000000005</v>
      </c>
      <c r="X62">
        <f>7+5+0+80</f>
        <v>92</v>
      </c>
      <c r="Y62">
        <f>2+5+1+1</f>
        <v>9</v>
      </c>
      <c r="Z62">
        <f>9+0+0+10</f>
        <v>19</v>
      </c>
      <c r="AA62" s="37">
        <f t="shared" ref="AA62:AA79" si="31">((240*X62)+(12*Y62)+Z62)/240</f>
        <v>92.529166666666669</v>
      </c>
      <c r="AQ62" s="38">
        <f t="shared" si="21"/>
        <v>0</v>
      </c>
      <c r="AR62" s="38">
        <f t="shared" si="22"/>
        <v>5936.5541666666659</v>
      </c>
      <c r="AS62">
        <f>9421-912-456</f>
        <v>8053</v>
      </c>
      <c r="AT62">
        <f>15-1-0</f>
        <v>14</v>
      </c>
      <c r="AU62">
        <f>11-4-8</f>
        <v>-1</v>
      </c>
      <c r="AV62" s="37">
        <f t="shared" si="14"/>
        <v>8053.6958333333332</v>
      </c>
      <c r="AW62" s="66">
        <f t="shared" si="24"/>
        <v>8053.6958333333323</v>
      </c>
      <c r="AX62" s="19" t="s">
        <v>61</v>
      </c>
      <c r="AY62" s="12">
        <v>695</v>
      </c>
      <c r="AZ62" s="12">
        <v>1000</v>
      </c>
      <c r="BA62" s="53">
        <v>422</v>
      </c>
      <c r="BB62" s="53">
        <v>2</v>
      </c>
      <c r="BC62" s="53">
        <v>10</v>
      </c>
      <c r="BD62" s="37">
        <f t="shared" si="15"/>
        <v>422.14166666666665</v>
      </c>
      <c r="BE62" s="37"/>
      <c r="BF62" s="37"/>
      <c r="BG62" s="37"/>
      <c r="BH62" s="37"/>
      <c r="BI62" s="38">
        <f t="shared" si="23"/>
        <v>2117.1416666666664</v>
      </c>
      <c r="BJ62" s="128">
        <f>AR62/'RPI_1880-2010'!B62*100</f>
        <v>252834.50454287336</v>
      </c>
      <c r="BK62" s="130">
        <f>AW62/'RPI_1880-2010'!B62*100</f>
        <v>343002.37791027821</v>
      </c>
    </row>
    <row r="63" spans="1:63" x14ac:dyDescent="0.25">
      <c r="A63">
        <v>1941</v>
      </c>
      <c r="B63" s="53">
        <v>898</v>
      </c>
      <c r="C63" s="55">
        <v>0</v>
      </c>
      <c r="D63" s="53">
        <v>0</v>
      </c>
      <c r="E63" s="37">
        <f t="shared" si="26"/>
        <v>898</v>
      </c>
      <c r="F63" s="54">
        <v>3193</v>
      </c>
      <c r="G63" s="54">
        <v>17</v>
      </c>
      <c r="H63" s="54">
        <v>11</v>
      </c>
      <c r="I63" s="37">
        <f t="shared" si="16"/>
        <v>3193.8958333333335</v>
      </c>
      <c r="J63" s="55">
        <v>4</v>
      </c>
      <c r="K63" s="55">
        <v>18</v>
      </c>
      <c r="L63" s="55">
        <v>11</v>
      </c>
      <c r="M63" s="37">
        <f t="shared" si="27"/>
        <v>4.9458333333333337</v>
      </c>
      <c r="N63" s="13">
        <v>4096</v>
      </c>
      <c r="O63" s="13">
        <v>17</v>
      </c>
      <c r="P63" s="13">
        <v>10</v>
      </c>
      <c r="Q63" s="50">
        <f t="shared" si="28"/>
        <v>4096.8916666666664</v>
      </c>
      <c r="R63" s="38">
        <f t="shared" si="29"/>
        <v>4096.8416666666672</v>
      </c>
      <c r="S63" s="13">
        <v>406</v>
      </c>
      <c r="T63" s="13">
        <v>0</v>
      </c>
      <c r="U63" s="13">
        <v>2</v>
      </c>
      <c r="V63" s="13">
        <f t="shared" si="30"/>
        <v>406.00833333333333</v>
      </c>
      <c r="W63" s="12">
        <f t="shared" si="20"/>
        <v>3690.8833333333332</v>
      </c>
      <c r="X63">
        <f>16+3+3+0+23</f>
        <v>45</v>
      </c>
      <c r="Y63">
        <f>8+17+3+2+0</f>
        <v>30</v>
      </c>
      <c r="Z63">
        <f>2+9+0+4+8</f>
        <v>23</v>
      </c>
      <c r="AA63" s="37">
        <f t="shared" si="31"/>
        <v>46.595833333333331</v>
      </c>
      <c r="AQ63" s="38">
        <f t="shared" si="21"/>
        <v>0</v>
      </c>
      <c r="AR63" s="38">
        <f t="shared" si="22"/>
        <v>3737.4291666666672</v>
      </c>
      <c r="AS63">
        <f>5863-435</f>
        <v>5428</v>
      </c>
      <c r="AT63">
        <f>12-19</f>
        <v>-7</v>
      </c>
      <c r="AU63">
        <f>10-5</f>
        <v>5</v>
      </c>
      <c r="AV63" s="37">
        <f>((240*AS63)+(12*AT63)+AU63)/240</f>
        <v>5427.6708333333336</v>
      </c>
      <c r="AW63" s="66">
        <f t="shared" si="24"/>
        <v>5427.7708333333339</v>
      </c>
      <c r="AX63" s="19" t="s">
        <v>62</v>
      </c>
      <c r="AY63" s="12">
        <v>930</v>
      </c>
      <c r="AZ63" s="12">
        <v>500</v>
      </c>
      <c r="BA63" s="53">
        <v>260</v>
      </c>
      <c r="BB63" s="53">
        <v>6</v>
      </c>
      <c r="BC63" s="53">
        <v>10</v>
      </c>
      <c r="BD63" s="37">
        <f t="shared" ref="BD63:BD75" si="32">((240*BA63)+(12*BB63)+BC63)/240</f>
        <v>260.34166666666664</v>
      </c>
      <c r="BE63" s="37"/>
      <c r="BF63" s="37"/>
      <c r="BG63" s="37"/>
      <c r="BH63" s="37"/>
      <c r="BI63" s="38">
        <f t="shared" si="23"/>
        <v>1690.3416666666667</v>
      </c>
      <c r="BJ63" s="128">
        <f>AR63/'RPI_1880-2010'!B63*100</f>
        <v>144358.02111497361</v>
      </c>
      <c r="BK63" s="130">
        <f>AW63/'RPI_1880-2010'!B63*100</f>
        <v>209647.38637826702</v>
      </c>
    </row>
    <row r="64" spans="1:63" x14ac:dyDescent="0.25">
      <c r="A64">
        <v>1942</v>
      </c>
      <c r="B64" s="53">
        <v>958</v>
      </c>
      <c r="C64" s="55">
        <v>17</v>
      </c>
      <c r="D64" s="53">
        <v>0</v>
      </c>
      <c r="E64" s="37">
        <f t="shared" si="26"/>
        <v>958.85</v>
      </c>
      <c r="F64" s="54">
        <v>1980</v>
      </c>
      <c r="G64" s="54">
        <v>8</v>
      </c>
      <c r="H64" s="54">
        <v>8</v>
      </c>
      <c r="I64" s="37">
        <f t="shared" si="16"/>
        <v>1980.4333333333334</v>
      </c>
      <c r="J64" s="54">
        <v>6</v>
      </c>
      <c r="K64" s="54">
        <v>18</v>
      </c>
      <c r="L64" s="54">
        <v>3</v>
      </c>
      <c r="M64" s="37">
        <f t="shared" si="27"/>
        <v>6.9124999999999996</v>
      </c>
      <c r="N64" s="13">
        <v>2946</v>
      </c>
      <c r="O64" s="13">
        <v>3</v>
      </c>
      <c r="P64" s="13">
        <v>11</v>
      </c>
      <c r="Q64" s="50">
        <f t="shared" si="28"/>
        <v>2946.1958333333332</v>
      </c>
      <c r="R64" s="38">
        <f t="shared" si="29"/>
        <v>2946.1958333333332</v>
      </c>
      <c r="S64" s="13">
        <v>291</v>
      </c>
      <c r="T64" s="13">
        <v>8</v>
      </c>
      <c r="U64" s="13">
        <v>5</v>
      </c>
      <c r="V64" s="13">
        <f t="shared" si="30"/>
        <v>291.42083333333335</v>
      </c>
      <c r="W64" s="12">
        <f t="shared" si="20"/>
        <v>2654.7749999999996</v>
      </c>
      <c r="X64">
        <f>33+4+7+0+13</f>
        <v>57</v>
      </c>
      <c r="Y64">
        <f>14+16+18+16+12</f>
        <v>76</v>
      </c>
      <c r="Z64">
        <f>2+6+9+4+6</f>
        <v>27</v>
      </c>
      <c r="AA64" s="37">
        <f t="shared" si="31"/>
        <v>60.912500000000001</v>
      </c>
      <c r="AQ64" s="38">
        <f t="shared" si="21"/>
        <v>0</v>
      </c>
      <c r="AR64" s="38">
        <f t="shared" si="22"/>
        <v>2715.6874999999995</v>
      </c>
      <c r="AS64">
        <f>6060-1643</f>
        <v>4417</v>
      </c>
      <c r="AT64">
        <f>10-0</f>
        <v>10</v>
      </c>
      <c r="AU64">
        <f>11-8</f>
        <v>3</v>
      </c>
      <c r="AV64" s="37">
        <f t="shared" ref="AV64:AV75" si="33">((240*AS64)+(12*AT64)+AU64)/240</f>
        <v>4417.5124999999998</v>
      </c>
      <c r="AW64" s="66">
        <f t="shared" si="24"/>
        <v>4417.5124999999998</v>
      </c>
      <c r="AX64" s="19" t="s">
        <v>64</v>
      </c>
      <c r="AY64" s="12">
        <v>920</v>
      </c>
      <c r="AZ64" s="12">
        <v>500</v>
      </c>
      <c r="BA64" s="53">
        <v>281</v>
      </c>
      <c r="BB64" s="53">
        <v>16</v>
      </c>
      <c r="BC64" s="53">
        <v>6</v>
      </c>
      <c r="BD64" s="37">
        <f t="shared" si="32"/>
        <v>281.82499999999999</v>
      </c>
      <c r="BE64" s="37"/>
      <c r="BF64" s="37"/>
      <c r="BG64" s="37"/>
      <c r="BH64" s="37"/>
      <c r="BI64" s="38">
        <f t="shared" si="23"/>
        <v>1701.825</v>
      </c>
      <c r="BJ64" s="128">
        <f>AR64/'RPI_1880-2010'!B64*100</f>
        <v>98716.375863322406</v>
      </c>
      <c r="BK64" s="130">
        <f>AW64/'RPI_1880-2010'!B64*100</f>
        <v>160578.42602689931</v>
      </c>
    </row>
    <row r="65" spans="1:63" x14ac:dyDescent="0.25">
      <c r="A65">
        <v>1943</v>
      </c>
      <c r="B65" s="53">
        <v>291</v>
      </c>
      <c r="C65" s="55">
        <v>14</v>
      </c>
      <c r="D65" s="53">
        <v>4</v>
      </c>
      <c r="E65" s="37">
        <f t="shared" si="26"/>
        <v>291.71666666666664</v>
      </c>
      <c r="F65" s="54">
        <v>1237</v>
      </c>
      <c r="G65" s="54">
        <v>3</v>
      </c>
      <c r="H65" s="54">
        <v>1</v>
      </c>
      <c r="I65" s="37">
        <f t="shared" si="16"/>
        <v>1237.1541666666667</v>
      </c>
      <c r="J65" s="54">
        <v>0</v>
      </c>
      <c r="K65" s="54">
        <v>1</v>
      </c>
      <c r="L65" s="54">
        <v>6</v>
      </c>
      <c r="M65" s="37">
        <f t="shared" si="27"/>
        <v>7.4999999999999997E-2</v>
      </c>
      <c r="N65" s="13">
        <v>1528</v>
      </c>
      <c r="O65" s="13">
        <v>18</v>
      </c>
      <c r="P65" s="13">
        <v>11</v>
      </c>
      <c r="Q65" s="50">
        <f t="shared" si="28"/>
        <v>1528.9458333333334</v>
      </c>
      <c r="R65" s="38">
        <f t="shared" si="29"/>
        <v>1528.9458333333334</v>
      </c>
      <c r="S65" s="13">
        <v>235</v>
      </c>
      <c r="T65" s="13">
        <v>15</v>
      </c>
      <c r="U65" s="13">
        <v>6</v>
      </c>
      <c r="V65" s="13">
        <f t="shared" si="30"/>
        <v>235.77500000000001</v>
      </c>
      <c r="W65" s="12">
        <f t="shared" si="20"/>
        <v>1293.1708333333333</v>
      </c>
      <c r="X65">
        <f>36+7+3+0+4</f>
        <v>50</v>
      </c>
      <c r="Y65">
        <f>3+13+3+5+13</f>
        <v>37</v>
      </c>
      <c r="Z65">
        <f>1+6+0+10+4</f>
        <v>21</v>
      </c>
      <c r="AA65" s="37">
        <f t="shared" si="31"/>
        <v>51.9375</v>
      </c>
      <c r="AQ65" s="38">
        <f t="shared" si="21"/>
        <v>0</v>
      </c>
      <c r="AR65" s="38">
        <f t="shared" si="22"/>
        <v>1345.1083333333333</v>
      </c>
      <c r="AS65">
        <f>3940-71</f>
        <v>3869</v>
      </c>
      <c r="AT65">
        <f>6-10</f>
        <v>-4</v>
      </c>
      <c r="AU65">
        <f>1-2</f>
        <v>-1</v>
      </c>
      <c r="AV65" s="37">
        <f t="shared" si="33"/>
        <v>3868.7958333333331</v>
      </c>
      <c r="AW65" s="66">
        <f t="shared" si="24"/>
        <v>3868.7958333333336</v>
      </c>
      <c r="AX65" s="19" t="s">
        <v>66</v>
      </c>
      <c r="AY65" s="12">
        <v>1720</v>
      </c>
      <c r="AZ65" s="12">
        <v>500</v>
      </c>
      <c r="BA65" s="53">
        <v>303</v>
      </c>
      <c r="BB65" s="53">
        <v>13</v>
      </c>
      <c r="BC65" s="53">
        <v>9</v>
      </c>
      <c r="BD65" s="37">
        <f t="shared" si="32"/>
        <v>303.6875</v>
      </c>
      <c r="BE65" s="37"/>
      <c r="BF65" s="37"/>
      <c r="BG65" s="37"/>
      <c r="BH65" s="37"/>
      <c r="BI65" s="38">
        <f t="shared" si="23"/>
        <v>2523.6875</v>
      </c>
      <c r="BJ65" s="128">
        <f>AR65/'RPI_1880-2010'!B65*100</f>
        <v>47180.229159359289</v>
      </c>
      <c r="BK65" s="130">
        <f>AW65/'RPI_1880-2010'!B65*100</f>
        <v>135699.6083245645</v>
      </c>
    </row>
    <row r="66" spans="1:63" x14ac:dyDescent="0.25">
      <c r="A66" s="9">
        <v>1944</v>
      </c>
      <c r="B66" s="53">
        <v>193</v>
      </c>
      <c r="C66" s="55">
        <v>14</v>
      </c>
      <c r="D66" s="53">
        <v>3</v>
      </c>
      <c r="E66" s="37">
        <f t="shared" si="26"/>
        <v>193.71250000000001</v>
      </c>
      <c r="F66" s="54">
        <v>2147</v>
      </c>
      <c r="G66" s="54">
        <v>1</v>
      </c>
      <c r="H66" s="54">
        <v>1</v>
      </c>
      <c r="I66" s="37">
        <f>((240*F66)+(12*G66)+H66)/240</f>
        <v>2147.0541666666668</v>
      </c>
      <c r="J66" s="54">
        <v>4</v>
      </c>
      <c r="K66" s="54">
        <v>19</v>
      </c>
      <c r="L66" s="54">
        <v>8</v>
      </c>
      <c r="M66" s="37">
        <f t="shared" si="27"/>
        <v>4.9833333333333334</v>
      </c>
      <c r="N66" s="13">
        <v>2345</v>
      </c>
      <c r="O66" s="13">
        <v>15</v>
      </c>
      <c r="P66" s="13">
        <v>0</v>
      </c>
      <c r="Q66" s="65">
        <f t="shared" si="28"/>
        <v>2345.75</v>
      </c>
      <c r="R66" s="38">
        <f t="shared" si="29"/>
        <v>2345.75</v>
      </c>
      <c r="S66" s="13">
        <v>231</v>
      </c>
      <c r="T66" s="13">
        <v>6</v>
      </c>
      <c r="U66" s="13">
        <v>1</v>
      </c>
      <c r="V66" s="13">
        <f t="shared" si="30"/>
        <v>231.30416666666667</v>
      </c>
      <c r="W66" s="12">
        <f t="shared" si="20"/>
        <v>2114.4458333333332</v>
      </c>
      <c r="X66">
        <f>91+7+0+26</f>
        <v>124</v>
      </c>
      <c r="Y66">
        <f>16+17+0+13</f>
        <v>46</v>
      </c>
      <c r="Z66">
        <f>8+9+11+6</f>
        <v>34</v>
      </c>
      <c r="AA66" s="37">
        <f t="shared" si="31"/>
        <v>126.44166666666666</v>
      </c>
      <c r="AQ66" s="38">
        <f t="shared" si="21"/>
        <v>0</v>
      </c>
      <c r="AR66" s="38">
        <f t="shared" si="22"/>
        <v>2240.8874999999998</v>
      </c>
      <c r="AS66">
        <f>4789</f>
        <v>4789</v>
      </c>
      <c r="AT66">
        <v>18</v>
      </c>
      <c r="AU66">
        <v>9</v>
      </c>
      <c r="AV66" s="37">
        <f t="shared" si="33"/>
        <v>4789.9375</v>
      </c>
      <c r="AW66" s="66">
        <f t="shared" si="24"/>
        <v>4789.9375</v>
      </c>
      <c r="AX66" s="19" t="s">
        <v>77</v>
      </c>
      <c r="AY66" s="13">
        <v>1715</v>
      </c>
      <c r="AZ66" s="13">
        <v>500</v>
      </c>
      <c r="BA66" s="54">
        <v>334</v>
      </c>
      <c r="BB66" s="54">
        <v>1</v>
      </c>
      <c r="BC66" s="54">
        <v>0</v>
      </c>
      <c r="BD66" s="37">
        <f t="shared" si="32"/>
        <v>334.05</v>
      </c>
      <c r="BE66" s="37"/>
      <c r="BF66" s="37"/>
      <c r="BG66" s="37"/>
      <c r="BH66" s="37"/>
      <c r="BI66" s="38">
        <f t="shared" si="23"/>
        <v>2549.0500000000002</v>
      </c>
      <c r="BJ66" s="128">
        <f>AR66/'RPI_1880-2010'!B66*100</f>
        <v>76979.989694263131</v>
      </c>
      <c r="BK66" s="130">
        <f>AW66/'RPI_1880-2010'!B66*100</f>
        <v>164546.11817244935</v>
      </c>
    </row>
    <row r="67" spans="1:63" x14ac:dyDescent="0.25">
      <c r="A67">
        <v>1945</v>
      </c>
      <c r="B67" s="53">
        <v>322</v>
      </c>
      <c r="C67" s="55">
        <v>5</v>
      </c>
      <c r="D67" s="53">
        <v>5</v>
      </c>
      <c r="E67" s="37">
        <f t="shared" si="26"/>
        <v>322.27083333333331</v>
      </c>
      <c r="F67" s="54">
        <v>1693</v>
      </c>
      <c r="G67" s="54">
        <v>19</v>
      </c>
      <c r="H67" s="54">
        <v>5</v>
      </c>
      <c r="I67" s="37">
        <f t="shared" si="16"/>
        <v>1693.9708333333333</v>
      </c>
      <c r="J67" s="54">
        <v>2</v>
      </c>
      <c r="K67" s="54">
        <v>18</v>
      </c>
      <c r="L67" s="54">
        <v>0</v>
      </c>
      <c r="M67" s="37">
        <f t="shared" si="27"/>
        <v>2.9</v>
      </c>
      <c r="N67" s="13">
        <v>2019</v>
      </c>
      <c r="O67" s="13">
        <v>2</v>
      </c>
      <c r="P67" s="13">
        <v>10</v>
      </c>
      <c r="Q67" s="65">
        <f t="shared" si="28"/>
        <v>2019.1416666666667</v>
      </c>
      <c r="R67" s="38">
        <f t="shared" si="29"/>
        <v>2019.1416666666667</v>
      </c>
      <c r="S67" s="13">
        <v>198</v>
      </c>
      <c r="T67" s="13">
        <v>12</v>
      </c>
      <c r="U67" s="13">
        <v>5</v>
      </c>
      <c r="V67" s="13">
        <f t="shared" si="30"/>
        <v>198.62083333333334</v>
      </c>
      <c r="W67" s="12">
        <f t="shared" si="20"/>
        <v>1820.5208333333333</v>
      </c>
      <c r="X67">
        <f>1+54+9+32</f>
        <v>96</v>
      </c>
      <c r="Y67">
        <f>1+15+3+6</f>
        <v>25</v>
      </c>
      <c r="Z67">
        <f>0+3+1+2</f>
        <v>6</v>
      </c>
      <c r="AA67" s="37">
        <f t="shared" si="31"/>
        <v>97.275000000000006</v>
      </c>
      <c r="AQ67" s="38">
        <f t="shared" si="21"/>
        <v>0</v>
      </c>
      <c r="AR67" s="38">
        <f t="shared" si="22"/>
        <v>1917.7958333333333</v>
      </c>
      <c r="AS67">
        <f>4751-380</f>
        <v>4371</v>
      </c>
      <c r="AT67">
        <f>5-3</f>
        <v>2</v>
      </c>
      <c r="AU67">
        <f>11-9</f>
        <v>2</v>
      </c>
      <c r="AV67" s="37">
        <f t="shared" si="33"/>
        <v>4371.1083333333336</v>
      </c>
      <c r="AW67" s="66">
        <f t="shared" si="24"/>
        <v>4371.1083333333336</v>
      </c>
      <c r="AX67" s="19" t="s">
        <v>72</v>
      </c>
      <c r="AY67" s="13">
        <v>1500</v>
      </c>
      <c r="AZ67" s="13">
        <v>500</v>
      </c>
      <c r="BA67" s="54">
        <v>453</v>
      </c>
      <c r="BB67" s="54">
        <v>6</v>
      </c>
      <c r="BC67" s="54">
        <v>3</v>
      </c>
      <c r="BD67" s="65">
        <f t="shared" si="32"/>
        <v>453.3125</v>
      </c>
      <c r="BE67" s="65"/>
      <c r="BF67" s="65"/>
      <c r="BG67" s="65"/>
      <c r="BH67" s="65"/>
      <c r="BI67" s="38">
        <f t="shared" si="23"/>
        <v>2453.3125</v>
      </c>
      <c r="BJ67" s="128">
        <f>AR67/'RPI_1880-2010'!B67*100</f>
        <v>64550.516100078537</v>
      </c>
      <c r="BK67" s="130">
        <f>AW67/'RPI_1880-2010'!B67*100</f>
        <v>147125.8274430607</v>
      </c>
    </row>
    <row r="68" spans="1:63" x14ac:dyDescent="0.25">
      <c r="A68">
        <v>1946</v>
      </c>
      <c r="B68" s="53">
        <v>755</v>
      </c>
      <c r="C68" s="55">
        <v>10</v>
      </c>
      <c r="D68" s="53">
        <v>11</v>
      </c>
      <c r="E68" s="37">
        <f t="shared" si="26"/>
        <v>755.54583333333335</v>
      </c>
      <c r="F68" s="54">
        <v>3996</v>
      </c>
      <c r="G68" s="54">
        <v>6</v>
      </c>
      <c r="H68" s="54">
        <v>10</v>
      </c>
      <c r="I68" s="37">
        <f t="shared" si="16"/>
        <v>3996.3416666666667</v>
      </c>
      <c r="J68" s="54">
        <v>11</v>
      </c>
      <c r="K68" s="54">
        <v>15</v>
      </c>
      <c r="L68" s="54">
        <v>2</v>
      </c>
      <c r="M68" s="37">
        <f t="shared" si="27"/>
        <v>11.758333333333333</v>
      </c>
      <c r="N68" s="13">
        <v>4763</v>
      </c>
      <c r="O68" s="13">
        <v>12</v>
      </c>
      <c r="P68" s="13">
        <v>11</v>
      </c>
      <c r="Q68" s="65">
        <f t="shared" si="28"/>
        <v>4763.645833333333</v>
      </c>
      <c r="R68" s="38">
        <f t="shared" si="29"/>
        <v>4763.645833333333</v>
      </c>
      <c r="S68" s="13">
        <v>467</v>
      </c>
      <c r="T68" s="13">
        <v>12</v>
      </c>
      <c r="U68" s="13">
        <v>9</v>
      </c>
      <c r="V68" s="13">
        <f t="shared" si="30"/>
        <v>467.63749999999999</v>
      </c>
      <c r="W68" s="12">
        <f t="shared" si="20"/>
        <v>4296.0083333333332</v>
      </c>
      <c r="X68">
        <f>5+59+16+0+11+5</f>
        <v>96</v>
      </c>
      <c r="Y68">
        <f>5+12+7+10+11+18</f>
        <v>63</v>
      </c>
      <c r="Z68">
        <f>0+8+4+11+4</f>
        <v>27</v>
      </c>
      <c r="AA68" s="37">
        <f t="shared" si="31"/>
        <v>99.262500000000003</v>
      </c>
      <c r="AQ68" s="38">
        <f t="shared" si="21"/>
        <v>0</v>
      </c>
      <c r="AR68" s="38">
        <f t="shared" si="22"/>
        <v>4395.270833333333</v>
      </c>
      <c r="AS68">
        <f>7234-635</f>
        <v>6599</v>
      </c>
      <c r="AT68">
        <f>4-15</f>
        <v>-11</v>
      </c>
      <c r="AU68">
        <f>11-10</f>
        <v>1</v>
      </c>
      <c r="AV68" s="37">
        <f t="shared" si="33"/>
        <v>6598.4541666666664</v>
      </c>
      <c r="AW68" s="73">
        <f t="shared" si="24"/>
        <v>6609.8041666666668</v>
      </c>
      <c r="AX68" s="19" t="s">
        <v>73</v>
      </c>
      <c r="AY68" s="13">
        <f>((1388*240)+(12*12)+7)/240</f>
        <v>1388.6291666666666</v>
      </c>
      <c r="AZ68" s="13">
        <v>500</v>
      </c>
      <c r="BA68" s="54">
        <v>325</v>
      </c>
      <c r="BB68" s="54">
        <v>18</v>
      </c>
      <c r="BC68" s="54">
        <v>1</v>
      </c>
      <c r="BD68" s="65">
        <f t="shared" si="32"/>
        <v>325.90416666666664</v>
      </c>
      <c r="BE68" s="65"/>
      <c r="BF68" s="65"/>
      <c r="BG68" s="65"/>
      <c r="BH68" s="65"/>
      <c r="BI68" s="38">
        <f t="shared" si="23"/>
        <v>2214.5333333333333</v>
      </c>
      <c r="BJ68" s="128">
        <f>AR68/'RPI_1880-2010'!B68*100</f>
        <v>142195.75649735791</v>
      </c>
      <c r="BK68" s="130">
        <f>AW68/'RPI_1880-2010'!B68*100</f>
        <v>213840.31597109887</v>
      </c>
    </row>
    <row r="69" spans="1:63" x14ac:dyDescent="0.25">
      <c r="A69">
        <v>1947</v>
      </c>
      <c r="B69" s="53">
        <v>1137</v>
      </c>
      <c r="C69" s="55">
        <v>8</v>
      </c>
      <c r="D69" s="53">
        <v>11</v>
      </c>
      <c r="E69" s="37">
        <f t="shared" si="26"/>
        <v>1137.4458333333334</v>
      </c>
      <c r="F69" s="54">
        <v>6133</v>
      </c>
      <c r="G69" s="54">
        <v>17</v>
      </c>
      <c r="H69" s="54">
        <v>11</v>
      </c>
      <c r="I69" s="37">
        <f t="shared" si="16"/>
        <v>6133.895833333333</v>
      </c>
      <c r="J69" s="54">
        <v>17</v>
      </c>
      <c r="K69" s="54">
        <v>11</v>
      </c>
      <c r="L69" s="54">
        <v>3</v>
      </c>
      <c r="M69" s="37">
        <f t="shared" si="27"/>
        <v>17.5625</v>
      </c>
      <c r="N69" s="13">
        <v>7288</v>
      </c>
      <c r="O69" s="13">
        <v>18</v>
      </c>
      <c r="P69" s="13">
        <v>1</v>
      </c>
      <c r="Q69" s="65">
        <f>((240*N69)+(12*O69)+P69)/240</f>
        <v>7288.9041666666662</v>
      </c>
      <c r="R69" s="38">
        <f t="shared" ref="R69:R79" si="34">E69+I69+M69</f>
        <v>7288.9041666666662</v>
      </c>
      <c r="S69" s="13">
        <v>715</v>
      </c>
      <c r="T69" s="13">
        <v>0</v>
      </c>
      <c r="U69" s="13">
        <v>6</v>
      </c>
      <c r="V69" s="13">
        <f t="shared" si="30"/>
        <v>715.02499999999998</v>
      </c>
      <c r="W69" s="12">
        <f t="shared" si="20"/>
        <v>6573.8791666666666</v>
      </c>
      <c r="X69">
        <f>4+54+9+6</f>
        <v>73</v>
      </c>
      <c r="Y69">
        <f>4+7+10+6</f>
        <v>27</v>
      </c>
      <c r="Z69">
        <f>0+1+10+2</f>
        <v>13</v>
      </c>
      <c r="AA69" s="37">
        <f t="shared" si="31"/>
        <v>74.404166666666669</v>
      </c>
      <c r="AQ69" s="38">
        <f t="shared" si="21"/>
        <v>0</v>
      </c>
      <c r="AR69" s="38">
        <f t="shared" si="22"/>
        <v>6648.2833333333328</v>
      </c>
      <c r="AS69">
        <f>11533-2434-322</f>
        <v>8777</v>
      </c>
      <c r="AT69">
        <f>9-15-8</f>
        <v>-14</v>
      </c>
      <c r="AU69">
        <f>11-3-1</f>
        <v>7</v>
      </c>
      <c r="AV69" s="37">
        <f t="shared" si="33"/>
        <v>8776.3291666666664</v>
      </c>
      <c r="AW69" s="66">
        <f t="shared" si="24"/>
        <v>8776.3291666666664</v>
      </c>
      <c r="AX69" s="19" t="s">
        <v>80</v>
      </c>
      <c r="AY69" s="13">
        <f>((1359*240)+(5*12)+10)/240</f>
        <v>1359.2916666666667</v>
      </c>
      <c r="AZ69" s="13">
        <v>500</v>
      </c>
      <c r="BA69" s="54">
        <v>268</v>
      </c>
      <c r="BB69" s="54">
        <v>15</v>
      </c>
      <c r="BC69" s="54">
        <v>1</v>
      </c>
      <c r="BD69" s="65">
        <f t="shared" si="32"/>
        <v>268.75416666666666</v>
      </c>
      <c r="BE69" s="65"/>
      <c r="BF69" s="65"/>
      <c r="BG69" s="65"/>
      <c r="BH69" s="65"/>
      <c r="BI69" s="38">
        <f t="shared" si="23"/>
        <v>2128.0458333333336</v>
      </c>
      <c r="BJ69" s="128">
        <f>AR69/'RPI_1880-2010'!B69*100</f>
        <v>202877.12338521003</v>
      </c>
      <c r="BK69" s="130">
        <f>AW69/'RPI_1880-2010'!B69*100</f>
        <v>267815.96480520797</v>
      </c>
    </row>
    <row r="70" spans="1:63" x14ac:dyDescent="0.25">
      <c r="A70">
        <v>1948</v>
      </c>
      <c r="B70" s="53">
        <v>4996</v>
      </c>
      <c r="C70" s="55">
        <v>12</v>
      </c>
      <c r="D70" s="53">
        <v>8</v>
      </c>
      <c r="E70" s="37">
        <f t="shared" si="26"/>
        <v>4996.6333333333332</v>
      </c>
      <c r="F70" s="54">
        <v>8401</v>
      </c>
      <c r="G70" s="54">
        <v>4</v>
      </c>
      <c r="H70" s="54">
        <v>9</v>
      </c>
      <c r="I70" s="37">
        <f t="shared" si="16"/>
        <v>8401.2374999999993</v>
      </c>
      <c r="J70" s="54">
        <v>32</v>
      </c>
      <c r="K70" s="54">
        <v>6</v>
      </c>
      <c r="L70" s="54">
        <v>2</v>
      </c>
      <c r="M70" s="37">
        <f t="shared" si="27"/>
        <v>32.30833333333333</v>
      </c>
      <c r="N70" s="13">
        <v>13430</v>
      </c>
      <c r="O70" s="13">
        <v>3</v>
      </c>
      <c r="P70" s="13">
        <v>7</v>
      </c>
      <c r="Q70" s="65">
        <f>((240*N70)+(12*O70)+P70)/240</f>
        <v>13430.179166666667</v>
      </c>
      <c r="R70" s="38">
        <f t="shared" si="34"/>
        <v>13430.179166666665</v>
      </c>
      <c r="S70" s="13">
        <v>1326</v>
      </c>
      <c r="T70" s="13">
        <v>7</v>
      </c>
      <c r="U70" s="13">
        <v>3</v>
      </c>
      <c r="V70" s="13">
        <f t="shared" si="30"/>
        <v>1326.3625</v>
      </c>
      <c r="W70" s="12">
        <f t="shared" si="20"/>
        <v>12103.816666666668</v>
      </c>
      <c r="X70">
        <f>8+1+63+13+33</f>
        <v>118</v>
      </c>
      <c r="Y70">
        <f>19+16+19+14+2</f>
        <v>70</v>
      </c>
      <c r="Z70">
        <f>8+8+8+9+1</f>
        <v>34</v>
      </c>
      <c r="AA70" s="37">
        <f t="shared" si="31"/>
        <v>121.64166666666667</v>
      </c>
      <c r="AQ70" s="38">
        <f t="shared" si="21"/>
        <v>0</v>
      </c>
      <c r="AR70" s="38">
        <f t="shared" si="22"/>
        <v>12225.458333333332</v>
      </c>
      <c r="AS70">
        <f>16876-1880</f>
        <v>14996</v>
      </c>
      <c r="AT70">
        <f>18-17</f>
        <v>1</v>
      </c>
      <c r="AU70">
        <f>11-11</f>
        <v>0</v>
      </c>
      <c r="AV70" s="37">
        <f t="shared" si="33"/>
        <v>14996.05</v>
      </c>
      <c r="AW70" s="66">
        <f t="shared" si="24"/>
        <v>14996.05</v>
      </c>
      <c r="AX70" s="19" t="s">
        <v>79</v>
      </c>
      <c r="AY70" s="13">
        <f>((2020*240)+(19*12)+9)/240</f>
        <v>2020.9875</v>
      </c>
      <c r="AZ70" s="13">
        <v>500</v>
      </c>
      <c r="BA70" s="54">
        <v>249</v>
      </c>
      <c r="BB70" s="54">
        <v>12</v>
      </c>
      <c r="BC70" s="54">
        <v>1</v>
      </c>
      <c r="BD70" s="65">
        <f t="shared" si="32"/>
        <v>249.60416666666666</v>
      </c>
      <c r="BE70" s="65"/>
      <c r="BF70" s="65"/>
      <c r="BG70" s="65"/>
      <c r="BH70" s="65"/>
      <c r="BI70" s="38">
        <f t="shared" si="23"/>
        <v>2770.5916666666667</v>
      </c>
      <c r="BJ70" s="128">
        <f>AR70/'RPI_1880-2010'!B70*100</f>
        <v>346723.15182454151</v>
      </c>
      <c r="BK70" s="130">
        <f>AW70/'RPI_1880-2010'!B70*100</f>
        <v>425299.20589903579</v>
      </c>
    </row>
    <row r="71" spans="1:63" x14ac:dyDescent="0.25">
      <c r="A71">
        <v>1949</v>
      </c>
      <c r="B71" s="53">
        <v>4186</v>
      </c>
      <c r="C71" s="55">
        <v>16</v>
      </c>
      <c r="D71" s="53">
        <v>5</v>
      </c>
      <c r="E71" s="37">
        <f t="shared" si="26"/>
        <v>4186.8208333333332</v>
      </c>
      <c r="F71" s="54">
        <v>14215</v>
      </c>
      <c r="G71" s="54">
        <v>11</v>
      </c>
      <c r="H71" s="54">
        <v>7</v>
      </c>
      <c r="I71" s="37">
        <f t="shared" si="16"/>
        <v>14215.579166666666</v>
      </c>
      <c r="J71" s="54">
        <v>50</v>
      </c>
      <c r="K71" s="54">
        <v>15</v>
      </c>
      <c r="L71" s="54">
        <v>11</v>
      </c>
      <c r="M71" s="37">
        <f t="shared" si="27"/>
        <v>50.795833333333334</v>
      </c>
      <c r="N71" s="13">
        <v>18453</v>
      </c>
      <c r="O71" s="13">
        <v>3</v>
      </c>
      <c r="P71" s="13">
        <v>11</v>
      </c>
      <c r="Q71" s="65">
        <f>((240*N71)+(12*O71)+P71)/240</f>
        <v>18453.195833333335</v>
      </c>
      <c r="R71" s="38">
        <f t="shared" si="34"/>
        <v>18453.195833333335</v>
      </c>
      <c r="S71" s="13">
        <v>1728</v>
      </c>
      <c r="T71" s="13">
        <v>3</v>
      </c>
      <c r="U71" s="13">
        <v>1</v>
      </c>
      <c r="V71" s="13">
        <f t="shared" si="30"/>
        <v>1728.1541666666667</v>
      </c>
      <c r="W71" s="12">
        <f t="shared" si="20"/>
        <v>16725.041666666668</v>
      </c>
      <c r="X71">
        <f>4+8+65+26+8</f>
        <v>111</v>
      </c>
      <c r="Y71">
        <f>4+7+17+17+12</f>
        <v>57</v>
      </c>
      <c r="Z71">
        <f>0+0+9+7+3</f>
        <v>19</v>
      </c>
      <c r="AA71" s="37">
        <f t="shared" si="31"/>
        <v>113.92916666666666</v>
      </c>
      <c r="AQ71" s="38">
        <f t="shared" si="21"/>
        <v>0</v>
      </c>
      <c r="AR71" s="38">
        <f t="shared" si="22"/>
        <v>16838.970833333333</v>
      </c>
      <c r="AS71">
        <v>20537</v>
      </c>
      <c r="AT71">
        <v>8</v>
      </c>
      <c r="AU71">
        <v>0</v>
      </c>
      <c r="AV71" s="37">
        <f t="shared" si="33"/>
        <v>20537.400000000001</v>
      </c>
      <c r="AW71" s="66">
        <f t="shared" si="24"/>
        <v>20537.399999999998</v>
      </c>
      <c r="AX71" s="19" t="s">
        <v>82</v>
      </c>
      <c r="AY71" s="13">
        <f>((2456*240)+(11*12)+5)/240</f>
        <v>2456.5708333333332</v>
      </c>
      <c r="AZ71" s="13">
        <v>1000</v>
      </c>
      <c r="BA71" s="54">
        <v>241</v>
      </c>
      <c r="BB71" s="54">
        <v>17</v>
      </c>
      <c r="BC71" s="54">
        <v>2</v>
      </c>
      <c r="BD71" s="65">
        <f t="shared" si="32"/>
        <v>241.85833333333332</v>
      </c>
      <c r="BE71" s="65"/>
      <c r="BF71" s="65"/>
      <c r="BG71" s="65"/>
      <c r="BH71" s="65"/>
      <c r="BI71" s="38">
        <f t="shared" si="23"/>
        <v>3698.4291666666663</v>
      </c>
      <c r="BJ71" s="128">
        <f>AR71/'RPI_1880-2010'!B71*100</f>
        <v>464011.32084137044</v>
      </c>
      <c r="BK71" s="130">
        <f>AW71/'RPI_1880-2010'!B71*100</f>
        <v>565924.49710664083</v>
      </c>
    </row>
    <row r="72" spans="1:63" x14ac:dyDescent="0.25">
      <c r="A72">
        <v>1950</v>
      </c>
      <c r="B72" s="53">
        <v>3826</v>
      </c>
      <c r="C72" s="55">
        <v>14</v>
      </c>
      <c r="D72" s="53">
        <v>1</v>
      </c>
      <c r="E72" s="37">
        <f t="shared" si="26"/>
        <v>3826.7041666666669</v>
      </c>
      <c r="F72" s="54">
        <v>14028</v>
      </c>
      <c r="G72" s="54">
        <v>9</v>
      </c>
      <c r="H72" s="54">
        <v>2</v>
      </c>
      <c r="I72" s="37">
        <f t="shared" si="16"/>
        <v>14028.458333333334</v>
      </c>
      <c r="J72" s="54">
        <v>73</v>
      </c>
      <c r="K72" s="54">
        <v>11</v>
      </c>
      <c r="L72" s="54">
        <v>5</v>
      </c>
      <c r="M72" s="37">
        <f t="shared" si="27"/>
        <v>73.57083333333334</v>
      </c>
      <c r="N72" s="13">
        <v>17928</v>
      </c>
      <c r="O72" s="13">
        <v>14</v>
      </c>
      <c r="P72" s="13">
        <v>8</v>
      </c>
      <c r="Q72" s="37">
        <f>((240*N72)+(12*O72)+P72)/240</f>
        <v>17928.733333333334</v>
      </c>
      <c r="R72" s="38">
        <f t="shared" si="34"/>
        <v>17928.733333333337</v>
      </c>
      <c r="S72" s="13">
        <v>1694</v>
      </c>
      <c r="T72" s="13">
        <v>3</v>
      </c>
      <c r="U72" s="13">
        <v>6</v>
      </c>
      <c r="V72" s="13">
        <f t="shared" si="30"/>
        <v>1694.175</v>
      </c>
      <c r="W72" s="12">
        <f t="shared" si="20"/>
        <v>16234.558333333334</v>
      </c>
      <c r="X72">
        <f>13+16+86+44+18</f>
        <v>177</v>
      </c>
      <c r="Y72">
        <f>13+9+2+16+7</f>
        <v>47</v>
      </c>
      <c r="Z72">
        <f>10+11+2+6+4</f>
        <v>33</v>
      </c>
      <c r="AA72" s="37">
        <f t="shared" si="31"/>
        <v>179.48750000000001</v>
      </c>
      <c r="AQ72" s="38">
        <f t="shared" si="21"/>
        <v>0</v>
      </c>
      <c r="AR72" s="38">
        <f t="shared" si="22"/>
        <v>16414.045833333337</v>
      </c>
      <c r="AS72">
        <f>21543-3798</f>
        <v>17745</v>
      </c>
      <c r="AT72">
        <f>17-13</f>
        <v>4</v>
      </c>
      <c r="AU72">
        <f>9-4</f>
        <v>5</v>
      </c>
      <c r="AV72" s="37">
        <f t="shared" si="33"/>
        <v>17745.220833333333</v>
      </c>
      <c r="AW72" s="66">
        <f t="shared" si="24"/>
        <v>17745.200000000004</v>
      </c>
      <c r="AX72" s="19" t="s">
        <v>83</v>
      </c>
      <c r="AY72" s="13">
        <f>((95*240)+(14*12)+9)/240</f>
        <v>95.737499999999997</v>
      </c>
      <c r="AZ72" s="12">
        <v>1000</v>
      </c>
      <c r="BA72" s="53">
        <v>235</v>
      </c>
      <c r="BB72" s="53">
        <v>8</v>
      </c>
      <c r="BC72" s="53">
        <v>4</v>
      </c>
      <c r="BD72" s="65">
        <f t="shared" si="32"/>
        <v>235.41666666666666</v>
      </c>
      <c r="BE72" s="65"/>
      <c r="BF72" s="65"/>
      <c r="BG72" s="65"/>
      <c r="BH72" s="65"/>
      <c r="BI72" s="38">
        <f t="shared" si="23"/>
        <v>1331.1541666666667</v>
      </c>
      <c r="BJ72" s="128">
        <f>AR72/'RPI_1880-2010'!B72*100</f>
        <v>438643.66203456273</v>
      </c>
      <c r="BK72" s="130">
        <f>AW72/'RPI_1880-2010'!B72*100</f>
        <v>474216.99625868531</v>
      </c>
    </row>
    <row r="73" spans="1:63" x14ac:dyDescent="0.25">
      <c r="A73" s="9">
        <v>1951</v>
      </c>
      <c r="B73" s="60">
        <v>6510</v>
      </c>
      <c r="C73" s="61">
        <v>15</v>
      </c>
      <c r="D73" s="60">
        <v>3</v>
      </c>
      <c r="E73" s="37">
        <f t="shared" si="26"/>
        <v>6510.7624999999998</v>
      </c>
      <c r="F73" s="54">
        <v>18764</v>
      </c>
      <c r="G73" s="54">
        <v>13</v>
      </c>
      <c r="H73" s="54">
        <v>4</v>
      </c>
      <c r="I73" s="37">
        <f t="shared" si="16"/>
        <v>18764.666666666668</v>
      </c>
      <c r="J73" s="69">
        <v>86</v>
      </c>
      <c r="K73" s="69">
        <v>15</v>
      </c>
      <c r="L73" s="69">
        <v>1</v>
      </c>
      <c r="M73" s="24">
        <f t="shared" si="27"/>
        <v>86.754166666666663</v>
      </c>
      <c r="N73" s="13">
        <v>25362</v>
      </c>
      <c r="O73" s="13">
        <v>3</v>
      </c>
      <c r="P73" s="13">
        <v>8</v>
      </c>
      <c r="Q73" s="51">
        <f>((240*N73)+(12*O73)+P73)/240</f>
        <v>25362.183333333334</v>
      </c>
      <c r="R73" s="38">
        <f t="shared" si="34"/>
        <v>25362.183333333334</v>
      </c>
      <c r="S73" s="13">
        <v>2365</v>
      </c>
      <c r="T73" s="13">
        <v>1</v>
      </c>
      <c r="U73" s="13">
        <v>0</v>
      </c>
      <c r="V73" s="13">
        <f t="shared" si="30"/>
        <v>2365.0500000000002</v>
      </c>
      <c r="W73" s="12">
        <f t="shared" si="20"/>
        <v>22997.133333333335</v>
      </c>
      <c r="X73">
        <f>124+22+73+9+51</f>
        <v>279</v>
      </c>
      <c r="Y73">
        <f>3+8+10+5+9</f>
        <v>35</v>
      </c>
      <c r="Z73">
        <f>6+6+5+1+5</f>
        <v>23</v>
      </c>
      <c r="AA73" s="37">
        <f t="shared" si="31"/>
        <v>280.84583333333336</v>
      </c>
      <c r="AQ73" s="38">
        <f t="shared" si="21"/>
        <v>0</v>
      </c>
      <c r="AR73" s="38">
        <f t="shared" si="22"/>
        <v>23277.979166666668</v>
      </c>
      <c r="AS73">
        <f>27850-2238</f>
        <v>25612</v>
      </c>
      <c r="AT73">
        <f>18-2</f>
        <v>16</v>
      </c>
      <c r="AU73">
        <f>4-10</f>
        <v>-6</v>
      </c>
      <c r="AV73" s="37">
        <f t="shared" si="33"/>
        <v>25612.775000000001</v>
      </c>
      <c r="AW73" s="66">
        <f t="shared" si="24"/>
        <v>25612.775000000001</v>
      </c>
      <c r="AX73" s="19" t="s">
        <v>108</v>
      </c>
      <c r="AY73" s="13">
        <f>((726*240)+(2*12)+4)/240</f>
        <v>726.11666666666667</v>
      </c>
      <c r="AZ73" s="13">
        <v>1000</v>
      </c>
      <c r="BA73" s="54">
        <v>418</v>
      </c>
      <c r="BB73" s="54">
        <v>13</v>
      </c>
      <c r="BC73" s="54">
        <v>7</v>
      </c>
      <c r="BD73" s="65">
        <f t="shared" si="32"/>
        <v>418.67916666666667</v>
      </c>
      <c r="BE73">
        <f>65+125</f>
        <v>190</v>
      </c>
      <c r="BH73" s="65">
        <f t="shared" ref="BH73" si="35">((240*BE73)+(12*BF73)+BG73)/240</f>
        <v>190</v>
      </c>
      <c r="BI73" s="38">
        <f t="shared" si="23"/>
        <v>2334.7958333333336</v>
      </c>
      <c r="BJ73" s="128">
        <f>AR73/'RPI_1880-2010'!B73*100</f>
        <v>570259.16625837015</v>
      </c>
      <c r="BK73" s="130">
        <f>AW73/'RPI_1880-2010'!B73*100</f>
        <v>627456.51641352288</v>
      </c>
    </row>
    <row r="74" spans="1:63" x14ac:dyDescent="0.25">
      <c r="A74" s="9">
        <v>1952</v>
      </c>
      <c r="B74" s="60">
        <v>7598</v>
      </c>
      <c r="C74" s="61">
        <v>12</v>
      </c>
      <c r="D74" s="60">
        <v>2</v>
      </c>
      <c r="E74" s="37">
        <f t="shared" si="26"/>
        <v>7598.6083333333336</v>
      </c>
      <c r="F74" s="54">
        <v>24616</v>
      </c>
      <c r="G74" s="54">
        <v>4</v>
      </c>
      <c r="H74" s="54">
        <v>3</v>
      </c>
      <c r="I74" s="37">
        <f t="shared" si="16"/>
        <v>24616.212500000001</v>
      </c>
      <c r="J74" s="69">
        <v>131</v>
      </c>
      <c r="K74" s="69">
        <v>19</v>
      </c>
      <c r="L74" s="69">
        <v>6</v>
      </c>
      <c r="M74" s="24">
        <f t="shared" si="27"/>
        <v>131.97499999999999</v>
      </c>
      <c r="N74" s="13">
        <v>32346</v>
      </c>
      <c r="O74" s="13">
        <v>15</v>
      </c>
      <c r="P74" s="13">
        <v>11</v>
      </c>
      <c r="Q74" s="51">
        <f t="shared" ref="Q74:Q79" si="36">((240*N74)+(12*O74)+P74)/240</f>
        <v>32346.795833333334</v>
      </c>
      <c r="R74" s="38">
        <f t="shared" si="34"/>
        <v>32346.795833333334</v>
      </c>
      <c r="S74" s="13">
        <v>2788</v>
      </c>
      <c r="T74" s="13">
        <v>12</v>
      </c>
      <c r="U74" s="13">
        <v>10</v>
      </c>
      <c r="V74" s="13">
        <f t="shared" si="30"/>
        <v>2788.6416666666669</v>
      </c>
      <c r="W74" s="12">
        <f t="shared" si="20"/>
        <v>29558.154166666667</v>
      </c>
      <c r="X74">
        <f>28+32+75+33+5+51</f>
        <v>224</v>
      </c>
      <c r="Y74">
        <f>14+0+12+3+12+8</f>
        <v>49</v>
      </c>
      <c r="Z74">
        <f>4+9+8+6+3+5</f>
        <v>35</v>
      </c>
      <c r="AA74" s="37">
        <f t="shared" si="31"/>
        <v>226.59583333333333</v>
      </c>
      <c r="AQ74" s="38">
        <f t="shared" si="21"/>
        <v>0</v>
      </c>
      <c r="AR74" s="38">
        <f t="shared" si="22"/>
        <v>29784.75</v>
      </c>
      <c r="AS74">
        <f>35306-3102-633</f>
        <v>31571</v>
      </c>
      <c r="AT74">
        <f>1-17-6</f>
        <v>-22</v>
      </c>
      <c r="AU74">
        <f>5-5-6</f>
        <v>-6</v>
      </c>
      <c r="AV74" s="37">
        <f t="shared" si="33"/>
        <v>31569.875</v>
      </c>
      <c r="AW74" s="37">
        <f t="shared" si="24"/>
        <v>31569.875</v>
      </c>
      <c r="AX74" s="19" t="s">
        <v>136</v>
      </c>
      <c r="AY74" s="13">
        <f>((496*240)+(2*12)+1)/240</f>
        <v>496.10416666666669</v>
      </c>
      <c r="AZ74" s="13">
        <v>1000</v>
      </c>
      <c r="BA74" s="54">
        <v>289</v>
      </c>
      <c r="BC74" s="54">
        <v>5</v>
      </c>
      <c r="BD74" s="65">
        <f t="shared" si="32"/>
        <v>289.02083333333331</v>
      </c>
      <c r="BI74" s="38">
        <f t="shared" si="23"/>
        <v>1785.125</v>
      </c>
      <c r="BJ74" s="128">
        <f>AR74/'RPI_1880-2010'!B74*100</f>
        <v>668418.98563734279</v>
      </c>
      <c r="BK74" s="130">
        <f>AW74/'RPI_1880-2010'!B74*100</f>
        <v>708480.13913824048</v>
      </c>
    </row>
    <row r="75" spans="1:63" x14ac:dyDescent="0.25">
      <c r="A75" s="9">
        <v>1953</v>
      </c>
      <c r="B75" s="60">
        <v>6365</v>
      </c>
      <c r="C75" s="61">
        <v>4</v>
      </c>
      <c r="D75" s="60">
        <v>1</v>
      </c>
      <c r="E75" s="37">
        <f t="shared" si="26"/>
        <v>6365.2041666666664</v>
      </c>
      <c r="F75" s="54">
        <v>21093</v>
      </c>
      <c r="G75" s="54">
        <v>12</v>
      </c>
      <c r="H75" s="54">
        <v>9</v>
      </c>
      <c r="I75" s="37">
        <f t="shared" si="16"/>
        <v>21093.637500000001</v>
      </c>
      <c r="J75" s="69">
        <v>113</v>
      </c>
      <c r="K75" s="69">
        <v>7</v>
      </c>
      <c r="L75" s="69">
        <v>4</v>
      </c>
      <c r="M75" s="24">
        <f t="shared" si="27"/>
        <v>113.36666666666666</v>
      </c>
      <c r="N75" s="13">
        <v>27572</v>
      </c>
      <c r="O75" s="13">
        <v>4</v>
      </c>
      <c r="P75" s="13">
        <v>2</v>
      </c>
      <c r="Q75" s="51">
        <f t="shared" si="36"/>
        <v>27572.208333333332</v>
      </c>
      <c r="R75" s="38">
        <f t="shared" si="34"/>
        <v>27572.208333333332</v>
      </c>
      <c r="S75" s="13">
        <v>2684</v>
      </c>
      <c r="T75" s="13">
        <v>11</v>
      </c>
      <c r="U75" s="13">
        <v>5</v>
      </c>
      <c r="V75" s="13">
        <f t="shared" si="30"/>
        <v>2684.5708333333332</v>
      </c>
      <c r="W75" s="12">
        <f t="shared" si="20"/>
        <v>24887.637499999997</v>
      </c>
      <c r="X75">
        <f>11+37+143+7+4+44</f>
        <v>246</v>
      </c>
      <c r="Y75">
        <f>17+4+9+3+18+4</f>
        <v>55</v>
      </c>
      <c r="Z75">
        <f>4+8+6+3+6+6</f>
        <v>33</v>
      </c>
      <c r="AA75" s="37">
        <f t="shared" si="31"/>
        <v>248.88749999999999</v>
      </c>
      <c r="AQ75" s="38">
        <f t="shared" si="21"/>
        <v>0</v>
      </c>
      <c r="AR75" s="38">
        <f t="shared" si="22"/>
        <v>25136.524999999998</v>
      </c>
      <c r="AS75">
        <f>31463-1053</f>
        <v>30410</v>
      </c>
      <c r="AT75">
        <f>19-16</f>
        <v>3</v>
      </c>
      <c r="AU75">
        <f>3-8</f>
        <v>-5</v>
      </c>
      <c r="AV75" s="37">
        <f t="shared" si="33"/>
        <v>30410.129166666666</v>
      </c>
      <c r="AW75" s="37">
        <f t="shared" si="24"/>
        <v>30410.129166666666</v>
      </c>
      <c r="AX75" s="19" t="s">
        <v>137</v>
      </c>
      <c r="AY75" s="13">
        <f>((4128*240)+(10*12)+8)/240</f>
        <v>4128.5333333333338</v>
      </c>
      <c r="AZ75" s="13">
        <v>1000</v>
      </c>
      <c r="BA75" s="54">
        <v>145</v>
      </c>
      <c r="BB75" s="54">
        <v>1</v>
      </c>
      <c r="BC75" s="54">
        <v>5</v>
      </c>
      <c r="BD75" s="65">
        <f t="shared" si="32"/>
        <v>145.07083333333333</v>
      </c>
      <c r="BI75" s="38">
        <f t="shared" si="23"/>
        <v>5273.604166666667</v>
      </c>
      <c r="BJ75" s="128">
        <f>AR75/'RPI_1880-2010'!B75*100</f>
        <v>547398.19250871078</v>
      </c>
      <c r="BK75" s="130">
        <f>AW75/'RPI_1880-2010'!B75*100</f>
        <v>662241.48882113828</v>
      </c>
    </row>
    <row r="76" spans="1:63" x14ac:dyDescent="0.25">
      <c r="A76">
        <v>1954</v>
      </c>
      <c r="B76" s="60">
        <v>1029</v>
      </c>
      <c r="C76" s="61">
        <v>12</v>
      </c>
      <c r="D76" s="60">
        <v>5</v>
      </c>
      <c r="E76" s="37">
        <f t="shared" ref="E76:E79" si="37">((240*B76)+(12*C76)+D76)/240</f>
        <v>1029.6208333333334</v>
      </c>
      <c r="F76" s="54">
        <v>20165</v>
      </c>
      <c r="G76" s="54">
        <v>13</v>
      </c>
      <c r="H76" s="54">
        <v>3</v>
      </c>
      <c r="I76" s="37">
        <f t="shared" si="16"/>
        <v>20165.662499999999</v>
      </c>
      <c r="J76" s="69">
        <v>85</v>
      </c>
      <c r="K76" s="69">
        <v>3</v>
      </c>
      <c r="L76" s="69">
        <v>0</v>
      </c>
      <c r="M76" s="24">
        <f t="shared" ref="M76:M79" si="38">((240*J76)+(12*K76)+L76)/240</f>
        <v>85.15</v>
      </c>
      <c r="N76" s="13">
        <v>21280</v>
      </c>
      <c r="O76" s="13">
        <v>8</v>
      </c>
      <c r="P76" s="13">
        <v>8</v>
      </c>
      <c r="Q76" s="51">
        <f t="shared" si="36"/>
        <v>21280.433333333334</v>
      </c>
      <c r="R76" s="38">
        <f t="shared" si="34"/>
        <v>21280.433333333334</v>
      </c>
      <c r="S76" s="13">
        <v>2099</v>
      </c>
      <c r="T76" s="13">
        <v>11</v>
      </c>
      <c r="U76" s="13">
        <v>5</v>
      </c>
      <c r="V76" s="13">
        <f t="shared" si="30"/>
        <v>2099.5708333333332</v>
      </c>
      <c r="W76" s="12">
        <f t="shared" si="20"/>
        <v>19180.862500000003</v>
      </c>
      <c r="X76">
        <f>4+51+123+10+4+77</f>
        <v>269</v>
      </c>
      <c r="Y76">
        <f>19+11+4+10+2+6</f>
        <v>52</v>
      </c>
      <c r="Z76">
        <f>9+1+10+0+10+6</f>
        <v>36</v>
      </c>
      <c r="AA76" s="37">
        <f t="shared" si="31"/>
        <v>271.75</v>
      </c>
      <c r="AQ76" s="38">
        <f t="shared" si="21"/>
        <v>0</v>
      </c>
      <c r="AR76" s="38">
        <f t="shared" si="22"/>
        <v>19452.612500000003</v>
      </c>
      <c r="AS76">
        <f>27543-1807</f>
        <v>25736</v>
      </c>
      <c r="AT76">
        <f>3-4</f>
        <v>-1</v>
      </c>
      <c r="AU76">
        <f>11-8</f>
        <v>3</v>
      </c>
      <c r="AV76" s="37">
        <f t="shared" ref="AV76:AV77" si="39">((240*AS76)+(12*AT76)+AU76)/240</f>
        <v>25735.962500000001</v>
      </c>
      <c r="AW76" s="66">
        <f t="shared" si="24"/>
        <v>25735.962500000001</v>
      </c>
      <c r="AX76" s="19" t="s">
        <v>114</v>
      </c>
      <c r="AY76" s="13">
        <f>((5002*240)+(18*12)+0)/240</f>
        <v>5002.8999999999996</v>
      </c>
      <c r="AZ76">
        <v>1000</v>
      </c>
      <c r="BA76" s="55">
        <v>280</v>
      </c>
      <c r="BB76" s="55">
        <v>9</v>
      </c>
      <c r="BC76" s="55">
        <v>0</v>
      </c>
      <c r="BD76" s="65">
        <f t="shared" ref="BD76" si="40">((240*BA76)+(12*BB76)+BC76)/240</f>
        <v>280.45</v>
      </c>
      <c r="BI76" s="38">
        <f t="shared" si="23"/>
        <v>6283.3499999999995</v>
      </c>
      <c r="BJ76" s="128">
        <f>AR76/'RPI_1880-2010'!B76*100</f>
        <v>415387.8389920991</v>
      </c>
      <c r="BK76" s="130">
        <f>AW76/'RPI_1880-2010'!B76*100</f>
        <v>549561.44565449504</v>
      </c>
    </row>
    <row r="77" spans="1:63" x14ac:dyDescent="0.25">
      <c r="A77" s="9">
        <v>1955</v>
      </c>
      <c r="B77" s="60">
        <v>15084</v>
      </c>
      <c r="C77" s="61">
        <v>7</v>
      </c>
      <c r="D77" s="60">
        <v>6</v>
      </c>
      <c r="E77" s="37">
        <f t="shared" si="37"/>
        <v>15084.375</v>
      </c>
      <c r="F77" s="54">
        <v>43256</v>
      </c>
      <c r="G77" s="54">
        <v>13</v>
      </c>
      <c r="H77" s="54">
        <v>6</v>
      </c>
      <c r="I77" s="37">
        <f t="shared" si="16"/>
        <v>43256.675000000003</v>
      </c>
      <c r="J77" s="69">
        <v>184</v>
      </c>
      <c r="K77" s="69">
        <v>2</v>
      </c>
      <c r="L77" s="69">
        <v>0</v>
      </c>
      <c r="M77" s="24">
        <f t="shared" si="38"/>
        <v>184.1</v>
      </c>
      <c r="N77" s="13">
        <v>58525</v>
      </c>
      <c r="O77" s="13">
        <v>3</v>
      </c>
      <c r="P77" s="13">
        <v>0</v>
      </c>
      <c r="Q77" s="51">
        <f t="shared" si="36"/>
        <v>58525.15</v>
      </c>
      <c r="R77" s="38">
        <f t="shared" si="34"/>
        <v>58525.15</v>
      </c>
      <c r="W77" s="12">
        <f t="shared" si="20"/>
        <v>58525.15</v>
      </c>
      <c r="X77">
        <f>0+88+612+5+811+4+139</f>
        <v>1659</v>
      </c>
      <c r="Y77">
        <f>7+3+7+1+12+6+1</f>
        <v>37</v>
      </c>
      <c r="Z77">
        <f>2+9+4+6+2+11+9</f>
        <v>43</v>
      </c>
      <c r="AA77" s="37">
        <f t="shared" si="31"/>
        <v>1661.0291666666667</v>
      </c>
      <c r="AQ77" s="38">
        <f t="shared" si="21"/>
        <v>0</v>
      </c>
      <c r="AR77" s="38">
        <f t="shared" si="22"/>
        <v>60186.179166666669</v>
      </c>
      <c r="AS77">
        <f>67534-5769</f>
        <v>61765</v>
      </c>
      <c r="AT77">
        <f>3-14</f>
        <v>-11</v>
      </c>
      <c r="AU77">
        <f>7-7</f>
        <v>0</v>
      </c>
      <c r="AV77" s="37">
        <f t="shared" si="39"/>
        <v>61764.45</v>
      </c>
      <c r="AW77" s="66">
        <f t="shared" si="24"/>
        <v>61764.450000000004</v>
      </c>
      <c r="AX77" s="19" t="s">
        <v>138</v>
      </c>
      <c r="AZ77" s="13">
        <v>1500</v>
      </c>
      <c r="BE77">
        <v>78</v>
      </c>
      <c r="BF77">
        <v>5</v>
      </c>
      <c r="BG77">
        <v>5</v>
      </c>
      <c r="BH77" s="65">
        <f t="shared" ref="BH77" si="41">((240*BE77)+(12*BF77)+BG77)/240</f>
        <v>78.270833333333329</v>
      </c>
      <c r="BI77" s="38">
        <f t="shared" si="23"/>
        <v>1578.2708333333333</v>
      </c>
      <c r="BJ77" s="128">
        <f>AR77/'RPI_1880-2010'!B77*100</f>
        <v>1231556.7662505968</v>
      </c>
      <c r="BK77" s="130">
        <f>AW77/'RPI_1880-2010'!B77*100</f>
        <v>1263852.0564763662</v>
      </c>
    </row>
    <row r="78" spans="1:63" x14ac:dyDescent="0.25">
      <c r="A78" s="9">
        <v>1956</v>
      </c>
      <c r="B78" s="60">
        <v>11744</v>
      </c>
      <c r="C78" s="61">
        <v>16</v>
      </c>
      <c r="D78" s="60">
        <v>8</v>
      </c>
      <c r="E78" s="37">
        <f t="shared" si="37"/>
        <v>11744.833333333334</v>
      </c>
      <c r="F78" s="54">
        <v>42013</v>
      </c>
      <c r="G78" s="54">
        <v>7</v>
      </c>
      <c r="H78" s="54">
        <v>0</v>
      </c>
      <c r="I78" s="37">
        <f t="shared" si="16"/>
        <v>42013.35</v>
      </c>
      <c r="J78" s="69">
        <v>91</v>
      </c>
      <c r="K78" s="69">
        <v>7</v>
      </c>
      <c r="L78" s="69">
        <v>11</v>
      </c>
      <c r="M78" s="24">
        <f t="shared" si="38"/>
        <v>91.395833333333329</v>
      </c>
      <c r="N78" s="13">
        <v>53849</v>
      </c>
      <c r="O78" s="13">
        <v>11</v>
      </c>
      <c r="P78" s="13">
        <v>7</v>
      </c>
      <c r="Q78" s="51">
        <f t="shared" si="36"/>
        <v>53849.57916666667</v>
      </c>
      <c r="R78" s="38">
        <f t="shared" si="34"/>
        <v>53849.57916666667</v>
      </c>
      <c r="W78" s="12">
        <f t="shared" si="20"/>
        <v>53849.57916666667</v>
      </c>
      <c r="X78" s="13">
        <f>544+21+6+9+125</f>
        <v>705</v>
      </c>
      <c r="Y78" s="13">
        <f>11+1+0+2+7</f>
        <v>21</v>
      </c>
      <c r="Z78" s="13">
        <f>0+6+1+2+3</f>
        <v>12</v>
      </c>
      <c r="AA78" s="37">
        <f t="shared" si="31"/>
        <v>706.1</v>
      </c>
      <c r="AQ78" s="38">
        <f t="shared" si="21"/>
        <v>0</v>
      </c>
      <c r="AR78" s="38">
        <f t="shared" si="22"/>
        <v>54555.679166666669</v>
      </c>
      <c r="AW78" s="66">
        <f t="shared" si="24"/>
        <v>56055.679166666669</v>
      </c>
      <c r="AX78" s="19" t="s">
        <v>139</v>
      </c>
      <c r="AZ78" s="13">
        <v>1500</v>
      </c>
      <c r="BI78" s="38">
        <f t="shared" si="23"/>
        <v>1500</v>
      </c>
      <c r="BJ78" s="128">
        <f>AR78/'RPI_1880-2010'!B78*100</f>
        <v>1062014.3890727405</v>
      </c>
      <c r="BK78" s="130">
        <f>AW78/'RPI_1880-2010'!B78*100</f>
        <v>1091214.3112062814</v>
      </c>
    </row>
    <row r="79" spans="1:63" x14ac:dyDescent="0.25">
      <c r="A79" s="9">
        <v>1957</v>
      </c>
      <c r="B79" s="60">
        <v>12779</v>
      </c>
      <c r="C79" s="61">
        <v>4</v>
      </c>
      <c r="D79" s="60">
        <v>4</v>
      </c>
      <c r="E79" s="37">
        <f t="shared" si="37"/>
        <v>12779.216666666667</v>
      </c>
      <c r="F79" s="54">
        <v>39315</v>
      </c>
      <c r="G79" s="54">
        <v>11</v>
      </c>
      <c r="H79" s="54">
        <v>2</v>
      </c>
      <c r="I79" s="37">
        <f t="shared" si="16"/>
        <v>39315.558333333334</v>
      </c>
      <c r="J79" s="69">
        <v>130</v>
      </c>
      <c r="K79" s="69">
        <v>2</v>
      </c>
      <c r="L79" s="69">
        <v>2</v>
      </c>
      <c r="M79" s="24">
        <f t="shared" si="38"/>
        <v>130.10833333333332</v>
      </c>
      <c r="N79" s="13">
        <v>52224</v>
      </c>
      <c r="O79" s="13">
        <v>17</v>
      </c>
      <c r="P79" s="13">
        <v>8</v>
      </c>
      <c r="Q79" s="51">
        <f t="shared" si="36"/>
        <v>52224.883333333331</v>
      </c>
      <c r="R79" s="38">
        <f t="shared" si="34"/>
        <v>52224.883333333331</v>
      </c>
      <c r="W79" s="12">
        <f t="shared" si="20"/>
        <v>52224.883333333331</v>
      </c>
      <c r="X79">
        <f>622+12+58+4+7+171</f>
        <v>874</v>
      </c>
      <c r="Y79">
        <f>7+6+10+10+13+4</f>
        <v>50</v>
      </c>
      <c r="Z79">
        <f>7+0+4+3+1+6</f>
        <v>21</v>
      </c>
      <c r="AA79" s="37">
        <f t="shared" si="31"/>
        <v>876.58749999999998</v>
      </c>
      <c r="AQ79" s="38">
        <f t="shared" si="21"/>
        <v>0</v>
      </c>
      <c r="AR79" s="38">
        <f t="shared" si="22"/>
        <v>53101.470833333333</v>
      </c>
      <c r="AW79" s="66">
        <f t="shared" si="24"/>
        <v>54601.470833333333</v>
      </c>
      <c r="AX79" s="19" t="s">
        <v>140</v>
      </c>
      <c r="AZ79" s="13">
        <v>1500</v>
      </c>
      <c r="BI79" s="38">
        <f t="shared" si="23"/>
        <v>1500</v>
      </c>
      <c r="BJ79" s="128">
        <f>AR79/'RPI_1880-2010'!B79*100</f>
        <v>998523.33270653128</v>
      </c>
      <c r="BK79" s="130">
        <f>AW79/'RPI_1880-2010'!B79*100</f>
        <v>1026729.4252225149</v>
      </c>
    </row>
    <row r="80" spans="1:63" x14ac:dyDescent="0.25">
      <c r="A80" s="96">
        <v>1958</v>
      </c>
      <c r="B80" s="55">
        <v>14892</v>
      </c>
      <c r="C80" s="55">
        <v>9</v>
      </c>
      <c r="D80" s="55">
        <v>10</v>
      </c>
      <c r="E80" s="39">
        <f>((240*B80)+(12*C80)+D80)/240</f>
        <v>14892.491666666667</v>
      </c>
      <c r="F80" s="55">
        <v>48169</v>
      </c>
      <c r="G80" s="55">
        <v>2</v>
      </c>
      <c r="H80" s="55">
        <v>1</v>
      </c>
      <c r="I80" s="37">
        <f t="shared" si="16"/>
        <v>48169.104166666664</v>
      </c>
      <c r="J80" s="55">
        <v>93</v>
      </c>
      <c r="K80" s="55">
        <v>0</v>
      </c>
      <c r="L80" s="55">
        <v>9</v>
      </c>
      <c r="M80" s="37">
        <f t="shared" ref="M80:M90" si="42">((240*J80)+(12*K80)+L80)/240</f>
        <v>93.037499999999994</v>
      </c>
      <c r="N80" s="14">
        <v>63154</v>
      </c>
      <c r="O80" s="9">
        <v>12</v>
      </c>
      <c r="P80" s="14">
        <v>8</v>
      </c>
      <c r="Q80" s="37">
        <f t="shared" ref="Q80:Q82" si="43">((240*N80)+(12*O80)+P80)/240</f>
        <v>63154.633333333331</v>
      </c>
      <c r="R80" s="38">
        <f t="shared" ref="R80:R85" si="44">E80+I80+M80</f>
        <v>63154.633333333331</v>
      </c>
      <c r="W80" s="12">
        <f t="shared" si="20"/>
        <v>63154.633333333331</v>
      </c>
      <c r="X80">
        <f>982+91+4+8+238</f>
        <v>1323</v>
      </c>
      <c r="Y80">
        <f>6+17+13+2+10</f>
        <v>48</v>
      </c>
      <c r="Z80">
        <f>5+10+11+8+10</f>
        <v>44</v>
      </c>
      <c r="AA80" s="37">
        <f t="shared" ref="AA80:AA90" si="45">((240*X80)+(12*Y80)+Z80)/240</f>
        <v>1325.5833333333333</v>
      </c>
      <c r="AB80">
        <v>202</v>
      </c>
      <c r="AC80">
        <v>11</v>
      </c>
      <c r="AD80">
        <v>0</v>
      </c>
      <c r="AE80" s="37">
        <f t="shared" ref="AE80:AE88" si="46">((240*AB80)+(12*AC80)+AD80)/240</f>
        <v>202.55</v>
      </c>
      <c r="AQ80" s="38">
        <f t="shared" si="21"/>
        <v>202.55</v>
      </c>
      <c r="AR80" s="123">
        <f t="shared" si="22"/>
        <v>64682.76666666667</v>
      </c>
      <c r="AS80" s="123"/>
      <c r="AT80" s="123"/>
      <c r="AU80" s="123"/>
      <c r="AV80" s="123"/>
      <c r="AW80" s="124">
        <f t="shared" ref="AW80:AW83" si="47">AR80+BI80</f>
        <v>64682.76666666667</v>
      </c>
      <c r="AX80" s="19" t="s">
        <v>106</v>
      </c>
      <c r="BJ80" s="128">
        <f>AR80/'RPI_1880-2010'!B80*100</f>
        <v>1178621.8415937803</v>
      </c>
    </row>
    <row r="81" spans="1:62" x14ac:dyDescent="0.25">
      <c r="A81">
        <v>1959</v>
      </c>
      <c r="B81" s="55">
        <v>11656</v>
      </c>
      <c r="C81" s="55">
        <v>2</v>
      </c>
      <c r="D81" s="55">
        <v>3</v>
      </c>
      <c r="E81" s="39">
        <f>((240*B81)+(12*C81)+D81)/240</f>
        <v>11656.112499999999</v>
      </c>
      <c r="F81" s="55">
        <v>44901</v>
      </c>
      <c r="G81" s="55">
        <v>1</v>
      </c>
      <c r="H81" s="55">
        <v>4</v>
      </c>
      <c r="I81" s="37">
        <f t="shared" si="16"/>
        <v>44901.066666666666</v>
      </c>
      <c r="J81" s="55">
        <v>38</v>
      </c>
      <c r="K81" s="55">
        <v>8</v>
      </c>
      <c r="L81" s="55">
        <v>10</v>
      </c>
      <c r="M81" s="37">
        <f t="shared" si="42"/>
        <v>38.44166666666667</v>
      </c>
      <c r="N81" s="14">
        <v>56595</v>
      </c>
      <c r="O81" s="61">
        <v>12</v>
      </c>
      <c r="P81" s="14">
        <v>5</v>
      </c>
      <c r="Q81" s="37">
        <f t="shared" si="43"/>
        <v>56595.620833333334</v>
      </c>
      <c r="R81" s="38">
        <f t="shared" si="44"/>
        <v>56595.620833333334</v>
      </c>
      <c r="W81" s="12">
        <f t="shared" si="20"/>
        <v>56595.620833333334</v>
      </c>
      <c r="X81">
        <f>924+62+2+11+267</f>
        <v>1266</v>
      </c>
      <c r="Y81">
        <f>2+17+10+19+19</f>
        <v>67</v>
      </c>
      <c r="Z81">
        <f>6+7+9+9+5</f>
        <v>36</v>
      </c>
      <c r="AA81" s="37">
        <f t="shared" si="45"/>
        <v>1269.5</v>
      </c>
      <c r="AB81">
        <v>25</v>
      </c>
      <c r="AC81">
        <v>2</v>
      </c>
      <c r="AD81">
        <v>1</v>
      </c>
      <c r="AE81" s="37">
        <f t="shared" si="46"/>
        <v>25.104166666666668</v>
      </c>
      <c r="AQ81" s="38">
        <f t="shared" si="21"/>
        <v>25.104166666666668</v>
      </c>
      <c r="AR81" s="38">
        <f t="shared" si="22"/>
        <v>57890.224999999999</v>
      </c>
      <c r="AS81" s="38"/>
      <c r="AT81" s="38"/>
      <c r="AU81" s="38"/>
      <c r="AV81" s="38"/>
      <c r="AW81" s="66">
        <f t="shared" si="47"/>
        <v>57890.224999999999</v>
      </c>
      <c r="AX81" s="19" t="s">
        <v>141</v>
      </c>
      <c r="BJ81" s="128">
        <f>AR81/'RPI_1880-2010'!B81*100</f>
        <v>1050448.648158229</v>
      </c>
    </row>
    <row r="82" spans="1:62" x14ac:dyDescent="0.25">
      <c r="A82">
        <v>1960</v>
      </c>
      <c r="B82" s="55">
        <v>11471</v>
      </c>
      <c r="C82" s="55">
        <v>9</v>
      </c>
      <c r="D82" s="55">
        <v>10</v>
      </c>
      <c r="E82" s="39">
        <f t="shared" ref="E82:E90" si="48">((240*B82)+(12*C82)+D82)/240</f>
        <v>11471.491666666667</v>
      </c>
      <c r="F82" s="55">
        <v>47019</v>
      </c>
      <c r="G82" s="55">
        <v>13</v>
      </c>
      <c r="H82" s="55">
        <v>0</v>
      </c>
      <c r="I82" s="37">
        <f t="shared" si="16"/>
        <v>47019.65</v>
      </c>
      <c r="J82" s="55">
        <v>167</v>
      </c>
      <c r="K82" s="55">
        <v>18</v>
      </c>
      <c r="L82" s="55">
        <v>11</v>
      </c>
      <c r="M82" s="37">
        <f t="shared" si="42"/>
        <v>167.94583333333333</v>
      </c>
      <c r="N82" s="12">
        <v>58659</v>
      </c>
      <c r="O82" s="55">
        <v>1</v>
      </c>
      <c r="P82" s="12">
        <v>9</v>
      </c>
      <c r="Q82" s="37">
        <f t="shared" si="43"/>
        <v>58659.087500000001</v>
      </c>
      <c r="R82" s="38">
        <f t="shared" si="44"/>
        <v>58659.087500000001</v>
      </c>
      <c r="W82" s="12">
        <f t="shared" si="20"/>
        <v>58659.087500000001</v>
      </c>
      <c r="X82">
        <f>816+8099+1321+1062+10+349</f>
        <v>11657</v>
      </c>
      <c r="Y82">
        <f>1+13+12+3+14+5</f>
        <v>48</v>
      </c>
      <c r="Z82">
        <f>6+11+5+5+10+7+0</f>
        <v>44</v>
      </c>
      <c r="AA82" s="37">
        <f t="shared" si="45"/>
        <v>11659.583333333334</v>
      </c>
      <c r="AB82">
        <v>107</v>
      </c>
      <c r="AC82">
        <v>13</v>
      </c>
      <c r="AD82">
        <v>6</v>
      </c>
      <c r="AE82" s="37">
        <f t="shared" si="46"/>
        <v>107.675</v>
      </c>
      <c r="AQ82" s="38">
        <f t="shared" si="21"/>
        <v>107.675</v>
      </c>
      <c r="AR82" s="38">
        <f t="shared" si="22"/>
        <v>70426.34583333334</v>
      </c>
      <c r="AS82" s="38"/>
      <c r="AT82" s="38"/>
      <c r="AU82" s="38"/>
      <c r="AV82" s="38"/>
      <c r="AW82" s="66">
        <f t="shared" si="47"/>
        <v>70426.34583333334</v>
      </c>
      <c r="AX82" s="19" t="s">
        <v>25</v>
      </c>
      <c r="BJ82" s="128">
        <f>AR82/'RPI_1880-2010'!B82*100</f>
        <v>1264840.9812021074</v>
      </c>
    </row>
    <row r="83" spans="1:62" x14ac:dyDescent="0.25">
      <c r="A83">
        <v>1961</v>
      </c>
      <c r="B83" s="55">
        <v>15890</v>
      </c>
      <c r="C83" s="55">
        <v>0</v>
      </c>
      <c r="D83" s="55">
        <v>9</v>
      </c>
      <c r="E83" s="39">
        <f t="shared" si="48"/>
        <v>15890.0375</v>
      </c>
      <c r="F83" s="55">
        <v>52964</v>
      </c>
      <c r="G83" s="55">
        <v>7</v>
      </c>
      <c r="H83" s="55">
        <v>10</v>
      </c>
      <c r="I83" s="37">
        <f t="shared" si="16"/>
        <v>52964.39166666667</v>
      </c>
      <c r="J83" s="55">
        <v>872</v>
      </c>
      <c r="K83" s="55">
        <v>13</v>
      </c>
      <c r="L83" s="55">
        <v>4</v>
      </c>
      <c r="M83" s="37">
        <f t="shared" si="42"/>
        <v>872.66666666666663</v>
      </c>
      <c r="N83" s="12"/>
      <c r="P83" s="12"/>
      <c r="Q83" s="13"/>
      <c r="R83" s="38">
        <f t="shared" si="44"/>
        <v>69727.09583333334</v>
      </c>
      <c r="W83" s="12">
        <f t="shared" si="20"/>
        <v>0</v>
      </c>
      <c r="X83">
        <f>995+825+925+8+383</f>
        <v>3136</v>
      </c>
      <c r="Y83">
        <f>9+9+16+43+18</f>
        <v>95</v>
      </c>
      <c r="Z83">
        <f>6+8+6+3+6</f>
        <v>29</v>
      </c>
      <c r="AA83" s="37">
        <f t="shared" si="45"/>
        <v>3140.8708333333334</v>
      </c>
      <c r="AB83">
        <v>69</v>
      </c>
      <c r="AC83">
        <v>10</v>
      </c>
      <c r="AD83">
        <v>2</v>
      </c>
      <c r="AE83" s="37">
        <f t="shared" si="46"/>
        <v>69.50833333333334</v>
      </c>
      <c r="AQ83" s="38">
        <f t="shared" si="21"/>
        <v>69.50833333333334</v>
      </c>
      <c r="AR83" s="38">
        <f t="shared" si="22"/>
        <v>72937.475000000006</v>
      </c>
      <c r="AS83" s="38"/>
      <c r="AT83" s="38"/>
      <c r="AU83" s="38"/>
      <c r="AV83" s="38"/>
      <c r="AW83" s="66">
        <f t="shared" si="47"/>
        <v>72937.475000000006</v>
      </c>
      <c r="AX83" s="19" t="s">
        <v>24</v>
      </c>
      <c r="BJ83" s="128">
        <f>AR83/'RPI_1880-2010'!B83*100</f>
        <v>1266275.607638889</v>
      </c>
    </row>
    <row r="84" spans="1:62" ht="15" customHeight="1" x14ac:dyDescent="0.25">
      <c r="A84">
        <v>1962</v>
      </c>
      <c r="B84" s="55">
        <v>15422</v>
      </c>
      <c r="C84" s="55">
        <v>14</v>
      </c>
      <c r="D84" s="55">
        <v>8</v>
      </c>
      <c r="E84" s="39">
        <f t="shared" si="48"/>
        <v>15422.733333333334</v>
      </c>
      <c r="F84" s="55">
        <v>54767</v>
      </c>
      <c r="G84" s="55">
        <v>0</v>
      </c>
      <c r="H84" s="55">
        <v>8</v>
      </c>
      <c r="I84" s="37">
        <f t="shared" si="16"/>
        <v>54767.033333333333</v>
      </c>
      <c r="J84" s="55">
        <v>967</v>
      </c>
      <c r="K84" s="55">
        <v>14</v>
      </c>
      <c r="L84" s="55">
        <v>11</v>
      </c>
      <c r="M84" s="37">
        <f t="shared" si="42"/>
        <v>967.74583333333328</v>
      </c>
      <c r="N84" s="12">
        <v>71157</v>
      </c>
      <c r="O84" s="55">
        <v>10</v>
      </c>
      <c r="P84" s="12">
        <v>3</v>
      </c>
      <c r="Q84" s="37">
        <f t="shared" ref="Q84" si="49">((240*N84)+(12*O84)+P84)/240</f>
        <v>71157.512499999997</v>
      </c>
      <c r="R84" s="38">
        <f t="shared" si="44"/>
        <v>71157.512499999997</v>
      </c>
      <c r="S84" s="67"/>
      <c r="W84" s="12">
        <f t="shared" si="20"/>
        <v>71157.512499999997</v>
      </c>
      <c r="X84">
        <f>1056+42+2828+534+5+417</f>
        <v>4882</v>
      </c>
      <c r="Y84">
        <f>15+16+4+0+6+19</f>
        <v>60</v>
      </c>
      <c r="Z84">
        <f>10+9+5+3+3+5</f>
        <v>35</v>
      </c>
      <c r="AA84" s="37">
        <f t="shared" si="45"/>
        <v>4885.145833333333</v>
      </c>
      <c r="AB84">
        <v>74</v>
      </c>
      <c r="AC84">
        <v>0</v>
      </c>
      <c r="AD84">
        <v>10</v>
      </c>
      <c r="AE84" s="37">
        <f t="shared" si="46"/>
        <v>74.041666666666671</v>
      </c>
      <c r="AQ84" s="38">
        <f t="shared" si="21"/>
        <v>74.041666666666671</v>
      </c>
      <c r="AR84" s="38">
        <f t="shared" si="22"/>
        <v>76116.7</v>
      </c>
      <c r="AS84" s="38"/>
      <c r="AT84" s="38"/>
      <c r="AU84" s="38"/>
      <c r="AV84" s="38"/>
      <c r="AW84" s="66">
        <f t="shared" ref="AW84:AW91" si="50">AR84+BI84</f>
        <v>76116.7</v>
      </c>
      <c r="AX84" s="19" t="s">
        <v>104</v>
      </c>
      <c r="BJ84" s="128">
        <f>AR84/'RPI_1880-2010'!B84*100</f>
        <v>1266500.8319467553</v>
      </c>
    </row>
    <row r="85" spans="1:62" x14ac:dyDescent="0.25">
      <c r="A85">
        <v>1963</v>
      </c>
      <c r="B85" s="55">
        <v>17313</v>
      </c>
      <c r="C85" s="55">
        <v>9</v>
      </c>
      <c r="D85" s="55">
        <v>0</v>
      </c>
      <c r="E85" s="39">
        <f t="shared" si="48"/>
        <v>17313.45</v>
      </c>
      <c r="F85" s="55">
        <v>59303</v>
      </c>
      <c r="G85" s="55">
        <v>13</v>
      </c>
      <c r="H85" s="55">
        <v>2</v>
      </c>
      <c r="I85" s="37">
        <f t="shared" si="16"/>
        <v>59303.658333333333</v>
      </c>
      <c r="J85" s="55">
        <v>350</v>
      </c>
      <c r="K85" s="55">
        <v>18</v>
      </c>
      <c r="L85" s="55">
        <v>4</v>
      </c>
      <c r="M85" s="37">
        <f t="shared" si="42"/>
        <v>350.91666666666669</v>
      </c>
      <c r="N85" s="12">
        <v>76969</v>
      </c>
      <c r="O85" s="55">
        <v>0</v>
      </c>
      <c r="P85" s="12">
        <v>6</v>
      </c>
      <c r="Q85" s="37">
        <f t="shared" ref="Q85:Q87" si="51">((240*N85)+(12*O85)+P85)/240</f>
        <v>76969.024999999994</v>
      </c>
      <c r="R85" s="38">
        <f t="shared" si="44"/>
        <v>76968.025000000009</v>
      </c>
      <c r="S85" s="67"/>
      <c r="W85" s="12">
        <f t="shared" si="20"/>
        <v>76969.024999999994</v>
      </c>
      <c r="X85">
        <f>1089+23+952+476+13+432</f>
        <v>2985</v>
      </c>
      <c r="Y85">
        <f>13+16+8+17+3+8</f>
        <v>65</v>
      </c>
      <c r="Z85">
        <f>3+3+10+8+8+8</f>
        <v>40</v>
      </c>
      <c r="AA85" s="37">
        <f t="shared" si="45"/>
        <v>2988.4166666666665</v>
      </c>
      <c r="AB85">
        <v>146</v>
      </c>
      <c r="AC85">
        <v>16</v>
      </c>
      <c r="AD85">
        <v>3</v>
      </c>
      <c r="AE85" s="37">
        <f t="shared" si="46"/>
        <v>146.8125</v>
      </c>
      <c r="AQ85" s="38">
        <f t="shared" si="21"/>
        <v>146.8125</v>
      </c>
      <c r="AR85" s="38">
        <f t="shared" si="22"/>
        <v>80103.25416666668</v>
      </c>
      <c r="AS85" s="38"/>
      <c r="AT85" s="38"/>
      <c r="AU85" s="38"/>
      <c r="AV85" s="38"/>
      <c r="AW85" s="66">
        <f t="shared" si="50"/>
        <v>80103.25416666668</v>
      </c>
      <c r="AX85" s="19" t="s">
        <v>105</v>
      </c>
      <c r="BJ85" s="128">
        <f>AR85/'RPI_1880-2010'!B85*100</f>
        <v>1308235.4102019707</v>
      </c>
    </row>
    <row r="86" spans="1:62" x14ac:dyDescent="0.25">
      <c r="A86" s="9">
        <v>1964</v>
      </c>
      <c r="E86" s="39">
        <f t="shared" si="48"/>
        <v>0</v>
      </c>
      <c r="I86" s="37">
        <f t="shared" si="16"/>
        <v>0</v>
      </c>
      <c r="M86" s="37">
        <f t="shared" si="42"/>
        <v>0</v>
      </c>
      <c r="N86" s="14">
        <v>123933</v>
      </c>
      <c r="O86" s="9"/>
      <c r="P86" s="14"/>
      <c r="Q86" s="37">
        <f t="shared" si="51"/>
        <v>123933</v>
      </c>
      <c r="R86" s="67"/>
      <c r="S86" s="67"/>
      <c r="W86" s="12">
        <f t="shared" si="20"/>
        <v>123933</v>
      </c>
      <c r="AA86" s="37">
        <f t="shared" si="45"/>
        <v>0</v>
      </c>
      <c r="AE86" s="37">
        <f t="shared" si="46"/>
        <v>0</v>
      </c>
      <c r="AQ86" s="38">
        <f t="shared" si="21"/>
        <v>0</v>
      </c>
      <c r="AR86" s="38">
        <f>Q86+AQ86-V86+AA86</f>
        <v>123933</v>
      </c>
      <c r="AS86" s="38"/>
      <c r="AT86" s="38"/>
      <c r="AU86" s="38"/>
      <c r="AV86" s="38">
        <v>123933</v>
      </c>
      <c r="AW86" s="66">
        <f t="shared" si="50"/>
        <v>123933</v>
      </c>
      <c r="AX86" s="19" t="s">
        <v>143</v>
      </c>
      <c r="BJ86" s="128">
        <f>AR86/'RPI_1880-2010'!B86*100</f>
        <v>1958795.6377430062</v>
      </c>
    </row>
    <row r="87" spans="1:62" x14ac:dyDescent="0.25">
      <c r="A87" s="9">
        <v>1965</v>
      </c>
      <c r="E87" s="39">
        <f t="shared" si="48"/>
        <v>0</v>
      </c>
      <c r="I87" s="37">
        <f t="shared" si="16"/>
        <v>0</v>
      </c>
      <c r="M87" s="37">
        <f t="shared" si="42"/>
        <v>0</v>
      </c>
      <c r="N87" s="14">
        <v>110461</v>
      </c>
      <c r="O87" s="9"/>
      <c r="P87" s="14"/>
      <c r="Q87" s="15">
        <f t="shared" si="51"/>
        <v>110461</v>
      </c>
      <c r="R87" s="67"/>
      <c r="S87" s="67"/>
      <c r="W87" s="12">
        <f t="shared" si="20"/>
        <v>110461</v>
      </c>
      <c r="AA87" s="37">
        <f t="shared" si="45"/>
        <v>0</v>
      </c>
      <c r="AE87" s="37">
        <f t="shared" si="46"/>
        <v>0</v>
      </c>
      <c r="AQ87" s="38">
        <f t="shared" si="21"/>
        <v>0</v>
      </c>
      <c r="AR87" s="38">
        <f>Q87+AQ87-V87+AA87</f>
        <v>110461</v>
      </c>
      <c r="AS87" s="38"/>
      <c r="AT87" s="38"/>
      <c r="AU87" s="38"/>
      <c r="AV87" s="38">
        <v>110461</v>
      </c>
      <c r="AW87" s="66">
        <f t="shared" si="50"/>
        <v>110461</v>
      </c>
      <c r="AX87" s="19" t="s">
        <v>146</v>
      </c>
      <c r="BJ87" s="128">
        <f>AR87/'RPI_1880-2010'!B87*100</f>
        <v>1668091.2111144669</v>
      </c>
    </row>
    <row r="88" spans="1:62" x14ac:dyDescent="0.25">
      <c r="A88">
        <v>1966</v>
      </c>
      <c r="B88" s="55">
        <v>54110</v>
      </c>
      <c r="C88" s="55">
        <v>18</v>
      </c>
      <c r="D88" s="55">
        <v>1</v>
      </c>
      <c r="E88" s="39">
        <f t="shared" si="48"/>
        <v>54110.904166666667</v>
      </c>
      <c r="F88" s="55">
        <v>82105</v>
      </c>
      <c r="G88" s="55">
        <v>7</v>
      </c>
      <c r="H88" s="55">
        <v>5</v>
      </c>
      <c r="I88" s="37">
        <f t="shared" si="16"/>
        <v>82105.370833333334</v>
      </c>
      <c r="J88" s="55">
        <v>673</v>
      </c>
      <c r="K88" s="55">
        <v>3</v>
      </c>
      <c r="L88" s="55">
        <v>10</v>
      </c>
      <c r="M88" s="37">
        <f t="shared" si="42"/>
        <v>673.19166666666672</v>
      </c>
      <c r="N88" s="12"/>
      <c r="P88" s="12"/>
      <c r="Q88" s="13"/>
      <c r="R88" s="38">
        <f t="shared" ref="R88:R90" si="52">E88+I88+M88</f>
        <v>136889.46666666667</v>
      </c>
      <c r="S88" s="38"/>
      <c r="W88" s="12">
        <f t="shared" si="20"/>
        <v>0</v>
      </c>
      <c r="X88">
        <f>1102+9+709+758+4+463</f>
        <v>3045</v>
      </c>
      <c r="Y88">
        <f>16+15+17+15+18+4</f>
        <v>85</v>
      </c>
      <c r="Z88">
        <f>0+6+9+6+9+11</f>
        <v>41</v>
      </c>
      <c r="AA88" s="37">
        <f t="shared" si="45"/>
        <v>3049.4208333333331</v>
      </c>
      <c r="AB88">
        <v>3282</v>
      </c>
      <c r="AC88">
        <v>11</v>
      </c>
      <c r="AD88">
        <v>2</v>
      </c>
      <c r="AE88" s="37">
        <f t="shared" si="46"/>
        <v>3282.5583333333334</v>
      </c>
      <c r="AF88">
        <v>560</v>
      </c>
      <c r="AG88">
        <v>19</v>
      </c>
      <c r="AH88">
        <v>4</v>
      </c>
      <c r="AI88" s="37">
        <f>((240*AF88)+(12*AG88)+AH88)/240</f>
        <v>560.9666666666667</v>
      </c>
      <c r="AJ88" s="9"/>
      <c r="AK88" s="9"/>
      <c r="AL88" s="9"/>
      <c r="AM88" s="9"/>
      <c r="AN88" s="9"/>
      <c r="AQ88" s="38">
        <f t="shared" si="21"/>
        <v>3843.5250000000001</v>
      </c>
      <c r="AR88" s="38">
        <f t="shared" si="22"/>
        <v>143782.41250000001</v>
      </c>
      <c r="AS88" s="38"/>
      <c r="AT88" s="38"/>
      <c r="AU88" s="38"/>
      <c r="AV88" s="38"/>
      <c r="AW88" s="66">
        <f t="shared" si="50"/>
        <v>143782.41250000001</v>
      </c>
      <c r="AX88" s="19" t="s">
        <v>22</v>
      </c>
      <c r="BJ88" s="128">
        <f>AR88/'RPI_1880-2010'!B88*100</f>
        <v>2088949.7675432223</v>
      </c>
    </row>
    <row r="89" spans="1:62" x14ac:dyDescent="0.25">
      <c r="A89">
        <v>1967</v>
      </c>
      <c r="B89" s="55">
        <v>43086</v>
      </c>
      <c r="E89" s="39">
        <f t="shared" si="48"/>
        <v>43086</v>
      </c>
      <c r="F89" s="55">
        <v>89708</v>
      </c>
      <c r="I89" s="37">
        <f t="shared" si="16"/>
        <v>89708</v>
      </c>
      <c r="M89" s="37">
        <f t="shared" si="42"/>
        <v>0</v>
      </c>
      <c r="N89" s="12">
        <v>147789</v>
      </c>
      <c r="P89" s="12"/>
      <c r="Q89" s="18">
        <f>((240*N89)+(12*O89)+P89)/240</f>
        <v>147789</v>
      </c>
      <c r="R89" s="38">
        <f t="shared" si="52"/>
        <v>132794</v>
      </c>
      <c r="W89" s="12">
        <f t="shared" si="20"/>
        <v>147789</v>
      </c>
      <c r="X89">
        <v>14995</v>
      </c>
      <c r="AA89" s="37">
        <f t="shared" si="45"/>
        <v>14995</v>
      </c>
      <c r="AQ89" s="37"/>
      <c r="AR89" s="38">
        <f t="shared" si="22"/>
        <v>147789</v>
      </c>
      <c r="AS89" s="38"/>
      <c r="AT89" s="38"/>
      <c r="AU89" s="38"/>
      <c r="AV89" s="38"/>
      <c r="AW89" s="66">
        <f t="shared" si="50"/>
        <v>147789</v>
      </c>
      <c r="AX89" s="19" t="s">
        <v>18</v>
      </c>
      <c r="BJ89" s="128">
        <f>AR89/'RPI_1880-2010'!B89*100</f>
        <v>2092143.261608154</v>
      </c>
    </row>
    <row r="90" spans="1:62" x14ac:dyDescent="0.25">
      <c r="A90">
        <v>1968</v>
      </c>
      <c r="B90" s="55">
        <v>29015</v>
      </c>
      <c r="C90" s="55">
        <v>19</v>
      </c>
      <c r="D90" s="55">
        <v>3</v>
      </c>
      <c r="E90" s="39">
        <f t="shared" si="48"/>
        <v>29015.962500000001</v>
      </c>
      <c r="F90" s="55">
        <v>92980</v>
      </c>
      <c r="G90" s="55">
        <v>7</v>
      </c>
      <c r="H90" s="55">
        <v>4</v>
      </c>
      <c r="I90" s="37">
        <f t="shared" si="16"/>
        <v>92980.366666666669</v>
      </c>
      <c r="M90" s="37">
        <f t="shared" si="42"/>
        <v>0</v>
      </c>
      <c r="N90" s="12">
        <v>139271</v>
      </c>
      <c r="O90">
        <v>3</v>
      </c>
      <c r="P90" s="12">
        <v>4</v>
      </c>
      <c r="Q90" s="18">
        <f>((240*N90)+(12*O90)+P90)/240</f>
        <v>139271.16666666666</v>
      </c>
      <c r="R90" s="38">
        <f t="shared" si="52"/>
        <v>121996.32916666666</v>
      </c>
      <c r="W90" s="12">
        <f t="shared" si="20"/>
        <v>139271.16666666666</v>
      </c>
      <c r="X90">
        <v>17274</v>
      </c>
      <c r="Y90">
        <v>16</v>
      </c>
      <c r="Z90">
        <v>9</v>
      </c>
      <c r="AA90" s="37">
        <f t="shared" si="45"/>
        <v>17274.837500000001</v>
      </c>
      <c r="AQ90" s="37"/>
      <c r="AR90" s="38">
        <f t="shared" si="22"/>
        <v>139271.16666666666</v>
      </c>
      <c r="AS90" s="38"/>
      <c r="AT90" s="38"/>
      <c r="AU90" s="38"/>
      <c r="AV90" s="38"/>
      <c r="AW90" s="66">
        <f t="shared" si="50"/>
        <v>139271.16666666666</v>
      </c>
      <c r="AX90" s="19" t="s">
        <v>19</v>
      </c>
      <c r="BJ90" s="128">
        <f>AR90/'RPI_1880-2010'!B90*100</f>
        <v>1883824.7892150229</v>
      </c>
    </row>
    <row r="91" spans="1:62" x14ac:dyDescent="0.25">
      <c r="A91" s="9">
        <v>1969</v>
      </c>
      <c r="I91" s="37">
        <f t="shared" si="16"/>
        <v>0</v>
      </c>
      <c r="N91" s="13">
        <v>181880</v>
      </c>
      <c r="O91" s="13"/>
      <c r="P91" s="13"/>
      <c r="Q91" s="13">
        <f>N91</f>
        <v>181880</v>
      </c>
      <c r="AR91" s="38">
        <f>Q91+AQ91-V91+AA91</f>
        <v>181880</v>
      </c>
      <c r="AV91">
        <v>181880</v>
      </c>
      <c r="AW91" s="66">
        <f t="shared" si="50"/>
        <v>181880</v>
      </c>
      <c r="AX91" s="19" t="s">
        <v>148</v>
      </c>
      <c r="BJ91" s="128">
        <f>AV91/'RPI_1880-2010'!B91*100</f>
        <v>2334788.1899871631</v>
      </c>
    </row>
    <row r="92" spans="1:62" x14ac:dyDescent="0.25">
      <c r="A92" s="9">
        <v>1970</v>
      </c>
      <c r="I92" s="37">
        <f t="shared" si="16"/>
        <v>0</v>
      </c>
      <c r="N92">
        <v>203362</v>
      </c>
      <c r="O92" s="13"/>
      <c r="P92" s="13"/>
      <c r="Q92" s="13"/>
      <c r="AR92" s="126">
        <f>AV92</f>
        <v>203362</v>
      </c>
      <c r="AV92">
        <v>203362</v>
      </c>
      <c r="AW92" s="66"/>
      <c r="AX92" s="19" t="s">
        <v>119</v>
      </c>
      <c r="BJ92" s="128">
        <f>AV92/'RPI_1880-2010'!B92*100</f>
        <v>2453396.0670768493</v>
      </c>
    </row>
    <row r="93" spans="1:62" s="74" customFormat="1" x14ac:dyDescent="0.25">
      <c r="A93" s="74">
        <v>1971</v>
      </c>
      <c r="B93" s="75" t="s">
        <v>32</v>
      </c>
      <c r="C93" s="75"/>
      <c r="D93" s="75"/>
      <c r="E93" s="76"/>
      <c r="F93" s="75"/>
      <c r="G93" s="75"/>
      <c r="H93" s="75"/>
      <c r="I93" s="76"/>
      <c r="J93" s="75"/>
      <c r="K93" s="75"/>
      <c r="L93" s="75"/>
      <c r="M93" s="76"/>
      <c r="Q93" s="17"/>
      <c r="R93" s="74" t="s">
        <v>32</v>
      </c>
      <c r="AR93" s="126">
        <f>AV93</f>
        <v>249799</v>
      </c>
      <c r="AV93" s="17">
        <f>249799</f>
        <v>249799</v>
      </c>
      <c r="AX93" s="20" t="s">
        <v>14</v>
      </c>
      <c r="BA93" s="75"/>
      <c r="BB93" s="75"/>
      <c r="BC93" s="75"/>
      <c r="BJ93" s="128">
        <f>AV93/'RPI_1880-2010'!B93*100</f>
        <v>2753819.8655054569</v>
      </c>
    </row>
    <row r="94" spans="1:62" x14ac:dyDescent="0.25">
      <c r="A94">
        <v>1972</v>
      </c>
      <c r="Q94" s="15"/>
      <c r="AR94" s="126">
        <f>AV94</f>
        <v>203015</v>
      </c>
      <c r="AV94" s="15">
        <f>203015</f>
        <v>203015</v>
      </c>
      <c r="AX94" s="19" t="s">
        <v>14</v>
      </c>
      <c r="BJ94" s="128">
        <f>AV94/'RPI_1880-2010'!B94*100</f>
        <v>2089061.5352953281</v>
      </c>
    </row>
    <row r="95" spans="1:62" x14ac:dyDescent="0.25">
      <c r="A95">
        <v>1973</v>
      </c>
      <c r="E95" s="24">
        <v>69410</v>
      </c>
      <c r="I95" s="24">
        <v>104146</v>
      </c>
      <c r="M95" s="24">
        <v>10096</v>
      </c>
      <c r="Q95" s="15">
        <v>183652</v>
      </c>
      <c r="R95" s="38">
        <f t="shared" ref="R95:R99" si="53">E95+I95+M95</f>
        <v>183652</v>
      </c>
      <c r="AR95" s="38">
        <f>R95+AQ95+AA95</f>
        <v>183652</v>
      </c>
      <c r="AV95" s="15">
        <f>183652</f>
        <v>183652</v>
      </c>
      <c r="AX95" s="19" t="s">
        <v>134</v>
      </c>
      <c r="BJ95" s="128">
        <f>AV95/'RPI_1880-2010'!B95*100</f>
        <v>1732239.200150915</v>
      </c>
    </row>
    <row r="96" spans="1:62" x14ac:dyDescent="0.25">
      <c r="A96">
        <v>1974</v>
      </c>
      <c r="E96" s="24">
        <v>90938.72</v>
      </c>
      <c r="I96" s="24">
        <v>169942.12</v>
      </c>
      <c r="M96" s="24">
        <v>14221.87</v>
      </c>
      <c r="Q96" s="15">
        <v>275102.71000000002</v>
      </c>
      <c r="R96" s="38">
        <f t="shared" si="53"/>
        <v>275102.71000000002</v>
      </c>
      <c r="AR96" s="38">
        <f>R96+AQ96+AA96</f>
        <v>275102.71000000002</v>
      </c>
      <c r="AV96" s="15">
        <f>275103</f>
        <v>275103</v>
      </c>
      <c r="AX96" s="19" t="s">
        <v>134</v>
      </c>
      <c r="BJ96" s="128">
        <f>AV96/'RPI_1880-2010'!B96*100</f>
        <v>2236064.3745427942</v>
      </c>
    </row>
    <row r="97" spans="1:62" x14ac:dyDescent="0.25">
      <c r="A97">
        <v>1975</v>
      </c>
      <c r="Q97" s="15"/>
      <c r="AR97" s="126">
        <f>AV97</f>
        <v>329789</v>
      </c>
      <c r="AV97" s="15">
        <f>329789</f>
        <v>329789</v>
      </c>
      <c r="AX97" s="19" t="s">
        <v>14</v>
      </c>
      <c r="BJ97" s="128">
        <f>AV97/'RPI_1880-2010'!B97*100</f>
        <v>2157598.9532221132</v>
      </c>
    </row>
    <row r="98" spans="1:62" x14ac:dyDescent="0.25">
      <c r="A98">
        <v>1976</v>
      </c>
      <c r="E98" s="24">
        <v>182418</v>
      </c>
      <c r="I98" s="24">
        <v>214836</v>
      </c>
      <c r="Q98" s="15"/>
      <c r="R98" s="38">
        <f t="shared" si="53"/>
        <v>397254</v>
      </c>
      <c r="AA98">
        <f>21096+16672</f>
        <v>37768</v>
      </c>
      <c r="AE98">
        <f>18+31</f>
        <v>49</v>
      </c>
      <c r="AM98">
        <v>3868</v>
      </c>
      <c r="AQ98" s="38">
        <f t="shared" ref="AQ98:AQ99" si="54">AE98+AI98+AM98</f>
        <v>3917</v>
      </c>
      <c r="AR98" s="38">
        <f t="shared" ref="AR98:AR99" si="55">R98+AQ98+AA98</f>
        <v>438939</v>
      </c>
      <c r="AV98" s="15">
        <f>438940</f>
        <v>438940</v>
      </c>
      <c r="AX98" s="19" t="s">
        <v>163</v>
      </c>
      <c r="BJ98" s="128">
        <f>AV98/'RPI_1880-2010'!B98*100</f>
        <v>2464017.0652295947</v>
      </c>
    </row>
    <row r="99" spans="1:62" x14ac:dyDescent="0.25">
      <c r="A99">
        <v>1977</v>
      </c>
      <c r="E99" s="24">
        <v>246499.97</v>
      </c>
      <c r="I99" s="24">
        <v>295513.82</v>
      </c>
      <c r="Q99" s="15"/>
      <c r="R99" s="38">
        <f t="shared" si="53"/>
        <v>542013.79</v>
      </c>
      <c r="AA99">
        <f>20040.98+6265.74</f>
        <v>26306.720000000001</v>
      </c>
      <c r="AE99">
        <v>63.7</v>
      </c>
      <c r="AM99">
        <v>4551</v>
      </c>
      <c r="AQ99" s="38">
        <f t="shared" si="54"/>
        <v>4614.7</v>
      </c>
      <c r="AR99" s="38">
        <f t="shared" si="55"/>
        <v>572935.21</v>
      </c>
      <c r="AV99" s="13">
        <v>572936</v>
      </c>
      <c r="AX99" s="19" t="s">
        <v>163</v>
      </c>
      <c r="BJ99" s="128">
        <f>AV99/'RPI_1880-2010'!B99*100</f>
        <v>2776256.2387943985</v>
      </c>
    </row>
    <row r="100" spans="1:62" x14ac:dyDescent="0.25">
      <c r="A100">
        <v>1978</v>
      </c>
      <c r="Q100" s="15"/>
      <c r="AR100" s="126">
        <f>AV100</f>
        <v>628782</v>
      </c>
      <c r="AV100" s="15">
        <v>628782</v>
      </c>
      <c r="AX100" s="88" t="s">
        <v>161</v>
      </c>
      <c r="BJ100" s="128">
        <f>AV100/'RPI_1880-2010'!B100*100</f>
        <v>2813468.1641236744</v>
      </c>
    </row>
    <row r="101" spans="1:62" x14ac:dyDescent="0.25">
      <c r="A101">
        <v>1979</v>
      </c>
      <c r="E101" s="24">
        <v>208707</v>
      </c>
      <c r="I101" s="24">
        <v>260190</v>
      </c>
      <c r="M101" s="24">
        <v>47102</v>
      </c>
      <c r="Q101">
        <v>515999</v>
      </c>
      <c r="R101" s="38">
        <f>E101+I101+M101</f>
        <v>515999</v>
      </c>
      <c r="AR101" s="38">
        <f t="shared" ref="AR101:AR102" si="56">R101+AQ101-V101+AA101</f>
        <v>515999</v>
      </c>
      <c r="AV101" s="13">
        <f>515999</f>
        <v>515999</v>
      </c>
      <c r="AX101" s="19" t="s">
        <v>14</v>
      </c>
      <c r="BJ101" s="128">
        <f>AV101/'RPI_1880-2010'!B101*100</f>
        <v>2036061.2397900801</v>
      </c>
    </row>
    <row r="102" spans="1:62" x14ac:dyDescent="0.25">
      <c r="A102">
        <v>1980</v>
      </c>
      <c r="E102" s="24">
        <v>383367.4</v>
      </c>
      <c r="I102" s="24">
        <v>336640.25</v>
      </c>
      <c r="M102" s="24">
        <v>38114.33</v>
      </c>
      <c r="Q102" s="15">
        <v>758121.98</v>
      </c>
      <c r="R102" s="38">
        <f>E102+I102+M102</f>
        <v>758121.98</v>
      </c>
      <c r="AR102" s="38">
        <f t="shared" si="56"/>
        <v>758121.98</v>
      </c>
      <c r="AV102" s="13">
        <f>758122</f>
        <v>758122</v>
      </c>
      <c r="AX102" s="19" t="s">
        <v>14</v>
      </c>
      <c r="BJ102" s="128">
        <f>AV102/'RPI_1880-2010'!B102*100</f>
        <v>2535440.2862780509</v>
      </c>
    </row>
    <row r="103" spans="1:62" x14ac:dyDescent="0.25">
      <c r="A103">
        <v>1981</v>
      </c>
      <c r="Q103" s="15">
        <v>842791.95</v>
      </c>
      <c r="AM103">
        <v>2375.08</v>
      </c>
      <c r="AQ103" s="38">
        <f>AE103+AI103+AM103</f>
        <v>2375.08</v>
      </c>
      <c r="AR103" s="38">
        <f>Q103+AQ103-V103+AA103</f>
        <v>845167.02999999991</v>
      </c>
      <c r="AV103" s="13">
        <f>842792+2375.08</f>
        <v>845167.08</v>
      </c>
      <c r="AX103" s="19" t="s">
        <v>127</v>
      </c>
      <c r="BJ103" s="128">
        <f>AV103/'RPI_1880-2010'!B103*100</f>
        <v>2526582.4041134794</v>
      </c>
    </row>
    <row r="104" spans="1:62" x14ac:dyDescent="0.25">
      <c r="A104">
        <v>1982</v>
      </c>
      <c r="Q104" s="15">
        <v>929429</v>
      </c>
      <c r="AM104">
        <v>2267</v>
      </c>
      <c r="AQ104" s="38">
        <f t="shared" ref="AQ104:AQ111" si="57">AE104+AI104+AM104</f>
        <v>2267</v>
      </c>
      <c r="AR104" s="38">
        <f t="shared" ref="AR104:AR111" si="58">Q104+AQ104-V104+AA104</f>
        <v>931696</v>
      </c>
      <c r="AV104" s="13">
        <f>929429+2267</f>
        <v>931696</v>
      </c>
      <c r="AX104" s="19" t="s">
        <v>128</v>
      </c>
      <c r="BJ104" s="128">
        <f>AV104/'RPI_1880-2010'!B104*100</f>
        <v>2564465.6078830748</v>
      </c>
    </row>
    <row r="105" spans="1:62" x14ac:dyDescent="0.25">
      <c r="A105">
        <v>1983</v>
      </c>
      <c r="Q105" s="15">
        <v>954341</v>
      </c>
      <c r="AM105">
        <v>19573</v>
      </c>
      <c r="AQ105" s="38">
        <f t="shared" si="57"/>
        <v>19573</v>
      </c>
      <c r="AR105" s="38">
        <f t="shared" si="58"/>
        <v>973914</v>
      </c>
      <c r="AV105" s="13">
        <f>954341+19573</f>
        <v>973914</v>
      </c>
      <c r="AX105" s="19" t="s">
        <v>128</v>
      </c>
      <c r="BJ105" s="128">
        <f>AV105/'RPI_1880-2010'!B105*100</f>
        <v>2563066.47718301</v>
      </c>
    </row>
    <row r="106" spans="1:62" x14ac:dyDescent="0.25">
      <c r="A106">
        <v>1984</v>
      </c>
      <c r="Q106" s="15">
        <v>933675</v>
      </c>
      <c r="AQ106">
        <v>11232</v>
      </c>
      <c r="AR106" s="38">
        <f t="shared" si="58"/>
        <v>944907</v>
      </c>
      <c r="AV106" s="15">
        <f>933675+11232</f>
        <v>944907</v>
      </c>
      <c r="AX106" s="19" t="s">
        <v>216</v>
      </c>
      <c r="BJ106" s="128">
        <f>AV106/'RPI_1880-2010'!B106*100</f>
        <v>2368722.2681807927</v>
      </c>
    </row>
    <row r="107" spans="1:62" x14ac:dyDescent="0.25">
      <c r="A107">
        <v>1985</v>
      </c>
      <c r="Q107" s="15">
        <v>1001366</v>
      </c>
      <c r="AM107">
        <v>12256</v>
      </c>
      <c r="AQ107" s="38">
        <f t="shared" si="57"/>
        <v>12256</v>
      </c>
      <c r="AR107" s="38">
        <f t="shared" si="58"/>
        <v>1013622</v>
      </c>
      <c r="AV107" s="15">
        <f>1001366+12256</f>
        <v>1013622</v>
      </c>
      <c r="AX107" s="19" t="s">
        <v>129</v>
      </c>
      <c r="BJ107" s="128">
        <f>AV107/'RPI_1880-2010'!B107*100</f>
        <v>2395250.2481213668</v>
      </c>
    </row>
    <row r="108" spans="1:62" x14ac:dyDescent="0.25">
      <c r="A108">
        <v>1986</v>
      </c>
      <c r="E108" s="24">
        <f>284408+211446</f>
        <v>495854</v>
      </c>
      <c r="I108" s="24">
        <f>343104+146664</f>
        <v>489768</v>
      </c>
      <c r="Q108" s="15">
        <v>1030627</v>
      </c>
      <c r="R108" s="38"/>
      <c r="AA108">
        <f>22776+3996+4048</f>
        <v>30820</v>
      </c>
      <c r="AM108">
        <v>2723</v>
      </c>
      <c r="AQ108" s="38">
        <f t="shared" si="57"/>
        <v>2723</v>
      </c>
      <c r="AR108" s="38">
        <f t="shared" si="58"/>
        <v>1064170</v>
      </c>
      <c r="AV108" s="13">
        <f>1030627+2723</f>
        <v>1033350</v>
      </c>
      <c r="AW108" s="86">
        <f>AA108+E108+I108</f>
        <v>1016442</v>
      </c>
      <c r="AX108" s="19" t="s">
        <v>160</v>
      </c>
      <c r="BJ108" s="128">
        <f>AV108/'RPI_1880-2010'!B108*100</f>
        <v>2361511.0379816261</v>
      </c>
    </row>
    <row r="109" spans="1:62" x14ac:dyDescent="0.25">
      <c r="A109">
        <v>1987</v>
      </c>
      <c r="Q109" s="15">
        <v>1063684</v>
      </c>
      <c r="AQ109">
        <v>8006</v>
      </c>
      <c r="AR109" s="38">
        <f t="shared" si="58"/>
        <v>1071690</v>
      </c>
      <c r="AV109" s="15">
        <f>1063684+8006</f>
        <v>1071690</v>
      </c>
      <c r="AX109" s="19" t="s">
        <v>217</v>
      </c>
      <c r="BJ109" s="128">
        <f>AV109/'RPI_1880-2010'!B109*100</f>
        <v>2351073.8652567845</v>
      </c>
    </row>
    <row r="110" spans="1:62" x14ac:dyDescent="0.25">
      <c r="A110">
        <v>1988</v>
      </c>
      <c r="Q110" s="15">
        <v>1159124</v>
      </c>
      <c r="AM110">
        <v>-982</v>
      </c>
      <c r="AQ110" s="38">
        <f t="shared" si="57"/>
        <v>-982</v>
      </c>
      <c r="AR110" s="38">
        <f t="shared" si="58"/>
        <v>1158142</v>
      </c>
      <c r="AV110" s="13">
        <f>1159124-982</f>
        <v>1158142</v>
      </c>
      <c r="AX110" s="19" t="s">
        <v>130</v>
      </c>
      <c r="BJ110" s="128">
        <f>AV110/'RPI_1880-2010'!B110*100</f>
        <v>2422029.822029822</v>
      </c>
    </row>
    <row r="111" spans="1:62" x14ac:dyDescent="0.25">
      <c r="A111">
        <v>1989</v>
      </c>
      <c r="Q111" s="15">
        <v>1130942</v>
      </c>
      <c r="AM111">
        <v>19142</v>
      </c>
      <c r="AQ111" s="38">
        <f t="shared" si="57"/>
        <v>19142</v>
      </c>
      <c r="AR111" s="38">
        <f t="shared" si="58"/>
        <v>1150084</v>
      </c>
      <c r="AV111" s="13">
        <f>1130942+19142</f>
        <v>1150084</v>
      </c>
      <c r="AX111" s="19" t="s">
        <v>130</v>
      </c>
      <c r="BJ111" s="128">
        <f>AV111/'RPI_1880-2010'!B111*100</f>
        <v>2231612.8531511952</v>
      </c>
    </row>
    <row r="112" spans="1:62" x14ac:dyDescent="0.25">
      <c r="A112">
        <v>1990</v>
      </c>
      <c r="Q112" s="15">
        <v>1284060</v>
      </c>
      <c r="AM112">
        <v>34814</v>
      </c>
      <c r="AQ112" s="38">
        <f>AE112+AI112+AM112</f>
        <v>34814</v>
      </c>
      <c r="AR112" s="38">
        <f>Q112+AQ112-V112+AA112</f>
        <v>1318874</v>
      </c>
      <c r="AV112" s="13">
        <f>1284060+34814</f>
        <v>1318874</v>
      </c>
      <c r="AX112" s="19" t="s">
        <v>168</v>
      </c>
      <c r="BJ112" s="128">
        <f>AV112/'RPI_1880-2010'!B112*100</f>
        <v>2337931.6457491312</v>
      </c>
    </row>
    <row r="113" spans="1:62" x14ac:dyDescent="0.25">
      <c r="A113">
        <v>1991</v>
      </c>
      <c r="E113" s="24">
        <f>155929+149348</f>
        <v>305277</v>
      </c>
      <c r="I113" s="24">
        <f>207218+98628</f>
        <v>305846</v>
      </c>
      <c r="M113" s="24">
        <f>17637+26494+2767+4435</f>
        <v>51333</v>
      </c>
      <c r="Q113" s="15"/>
      <c r="R113" s="38">
        <f>M113+I113+E113</f>
        <v>662456</v>
      </c>
      <c r="AA113">
        <f>21028+3273+2955+3949+709</f>
        <v>31914</v>
      </c>
      <c r="AE113">
        <v>1616</v>
      </c>
      <c r="AM113">
        <f>827+1430</f>
        <v>2257</v>
      </c>
      <c r="AQ113" s="38">
        <f>AE113+AI113+AM113</f>
        <v>3873</v>
      </c>
      <c r="AR113" s="38">
        <f>R113+AQ113-V113+AA113</f>
        <v>698243</v>
      </c>
      <c r="AV113" s="13">
        <f>694370+1616+827+1430</f>
        <v>698243</v>
      </c>
      <c r="AX113" s="19" t="s">
        <v>170</v>
      </c>
      <c r="BJ113" s="128">
        <f>AV113/'RPI_1880-2010'!B113*100</f>
        <v>1169135.8438122666</v>
      </c>
    </row>
    <row r="114" spans="1:62" x14ac:dyDescent="0.25">
      <c r="A114">
        <v>1992</v>
      </c>
      <c r="E114" s="24">
        <f>294060+258186</f>
        <v>552246</v>
      </c>
      <c r="I114" s="24">
        <f>431559+184294</f>
        <v>615853</v>
      </c>
      <c r="M114" s="24">
        <f>31915+35173+7393+7019</f>
        <v>81500</v>
      </c>
      <c r="Q114" s="15"/>
      <c r="R114" s="38">
        <f>M114+I114+E114</f>
        <v>1249599</v>
      </c>
      <c r="AA114">
        <f>22557+3934+6926+33580+1755</f>
        <v>68752</v>
      </c>
      <c r="AE114">
        <v>3386</v>
      </c>
      <c r="AM114">
        <f>4194+3346</f>
        <v>7540</v>
      </c>
      <c r="AQ114" s="38">
        <f>AE114+AI114+AM114</f>
        <v>10926</v>
      </c>
      <c r="AR114" s="38">
        <f>R114+AQ114-V114+AA114</f>
        <v>1329277</v>
      </c>
      <c r="AV114" s="13">
        <f>1318351+3386+4194+3346</f>
        <v>1329277</v>
      </c>
      <c r="AX114" s="19" t="s">
        <v>171</v>
      </c>
      <c r="BJ114" s="128">
        <f>AV114/'RPI_1880-2010'!B114*100</f>
        <v>2145483.1576738707</v>
      </c>
    </row>
    <row r="115" spans="1:62" x14ac:dyDescent="0.25">
      <c r="A115">
        <v>1993</v>
      </c>
      <c r="E115" s="24">
        <f>291109+265320</f>
        <v>556429</v>
      </c>
      <c r="I115" s="24">
        <f>425239+194976</f>
        <v>620215</v>
      </c>
      <c r="M115" s="24">
        <f>30907+43164+8309+12561</f>
        <v>94941</v>
      </c>
      <c r="Q115" s="15"/>
      <c r="R115" s="38">
        <f>M115+I115+E115</f>
        <v>1271585</v>
      </c>
      <c r="AA115">
        <f>23899+4157+7368+31822+22131</f>
        <v>89377</v>
      </c>
      <c r="AE115">
        <v>3741</v>
      </c>
      <c r="AM115">
        <f>22886+543</f>
        <v>23429</v>
      </c>
      <c r="AQ115" s="38">
        <f>AE115+AI115+AM115</f>
        <v>27170</v>
      </c>
      <c r="AR115" s="38">
        <f>R115+AQ115-V115+AA115</f>
        <v>1388132</v>
      </c>
      <c r="AV115" s="13">
        <f>1360962+3741+22886+543</f>
        <v>1388132</v>
      </c>
      <c r="AX115" s="19" t="s">
        <v>172</v>
      </c>
      <c r="BJ115" s="128">
        <f>AV115/'RPI_1880-2010'!B115*100</f>
        <v>2205344.4331469238</v>
      </c>
    </row>
    <row r="116" spans="1:62" x14ac:dyDescent="0.25">
      <c r="A116">
        <v>1994</v>
      </c>
      <c r="Q116" s="15"/>
      <c r="AV116" s="13">
        <v>1339082</v>
      </c>
      <c r="AX116" s="19" t="s">
        <v>14</v>
      </c>
      <c r="BJ116" s="128">
        <f>AV116/'RPI_1880-2010'!B116*100</f>
        <v>2077287.7464592094</v>
      </c>
    </row>
    <row r="117" spans="1:62" x14ac:dyDescent="0.25">
      <c r="A117">
        <v>1995</v>
      </c>
      <c r="Q117" s="15"/>
      <c r="AV117" s="13">
        <v>1352889</v>
      </c>
      <c r="AX117" s="19" t="s">
        <v>14</v>
      </c>
      <c r="BJ117" s="128">
        <f>AV117/'RPI_1880-2010'!B117*100</f>
        <v>2028410.5731891987</v>
      </c>
    </row>
    <row r="118" spans="1:62" x14ac:dyDescent="0.25">
      <c r="A118">
        <v>1996</v>
      </c>
      <c r="E118" s="24">
        <f>(302009-18592)+(296069-25016)</f>
        <v>554470</v>
      </c>
      <c r="I118" s="24">
        <f>(397024-13449)+(225007-9494)</f>
        <v>599088</v>
      </c>
      <c r="M118" s="24">
        <f>18592+25016+13449+9494</f>
        <v>66551</v>
      </c>
      <c r="Q118" s="15"/>
      <c r="R118" s="38">
        <f>M118+I118+E118</f>
        <v>1220109</v>
      </c>
      <c r="AA118">
        <f>23614+8267+3688+28000</f>
        <v>63569</v>
      </c>
      <c r="AE118">
        <v>9507</v>
      </c>
      <c r="AM118">
        <f>11938+2087</f>
        <v>14025</v>
      </c>
      <c r="AQ118" s="38">
        <f>AE118+AI118+AM118</f>
        <v>23532</v>
      </c>
      <c r="AR118" s="38">
        <f>R118+AQ118-V118+AA118</f>
        <v>1307210</v>
      </c>
      <c r="AV118" s="139">
        <f>AR118</f>
        <v>1307210</v>
      </c>
      <c r="AX118" s="19" t="s">
        <v>243</v>
      </c>
      <c r="BJ118" s="128">
        <f>AV118/'RPI_1880-2010'!B118*100</f>
        <v>1913727.7292224807</v>
      </c>
    </row>
    <row r="119" spans="1:62" x14ac:dyDescent="0.25">
      <c r="A119">
        <v>1997</v>
      </c>
      <c r="Q119" s="15"/>
      <c r="AV119" s="13">
        <v>1354000</v>
      </c>
      <c r="AX119" s="19" t="s">
        <v>14</v>
      </c>
      <c r="BJ119" s="128">
        <f>AV119/'RPI_1880-2010'!B119*100</f>
        <v>1921930.4471256207</v>
      </c>
    </row>
    <row r="120" spans="1:62" x14ac:dyDescent="0.25">
      <c r="A120">
        <v>1998</v>
      </c>
      <c r="Q120" s="15"/>
      <c r="AV120" s="13">
        <v>1542000</v>
      </c>
      <c r="AX120" s="19" t="s">
        <v>14</v>
      </c>
      <c r="BJ120" s="128">
        <f>AV120/'RPI_1880-2010'!B120*100</f>
        <v>2116242.3660193514</v>
      </c>
    </row>
    <row r="121" spans="1:62" x14ac:dyDescent="0.25">
      <c r="A121">
        <v>1999</v>
      </c>
      <c r="Q121" s="15"/>
      <c r="AV121" s="15">
        <v>1588000</v>
      </c>
      <c r="AW121" s="9"/>
      <c r="AX121" s="88" t="s">
        <v>196</v>
      </c>
      <c r="BJ121" s="128">
        <f>AV121/'RPI_1880-2010'!B121*100</f>
        <v>2146293.993620587</v>
      </c>
    </row>
    <row r="122" spans="1:62" x14ac:dyDescent="0.25">
      <c r="A122">
        <v>2000</v>
      </c>
      <c r="AV122" s="27">
        <v>1783000</v>
      </c>
      <c r="AW122" s="9"/>
      <c r="AX122" s="88" t="s">
        <v>196</v>
      </c>
      <c r="BJ122" s="128">
        <f>AV122/'RPI_1880-2010'!B122*100</f>
        <v>2340632.2201218233</v>
      </c>
    </row>
    <row r="123" spans="1:62" x14ac:dyDescent="0.25">
      <c r="A123">
        <v>2001</v>
      </c>
      <c r="E123" s="24">
        <f>1000*(376+387)</f>
        <v>763000</v>
      </c>
      <c r="I123" s="24">
        <f>1000*(452+383)</f>
        <v>835000</v>
      </c>
      <c r="M123" s="24">
        <f>1000*(4+18+10+48)</f>
        <v>80000</v>
      </c>
      <c r="R123" s="38">
        <f>M123+I123+E123</f>
        <v>1678000</v>
      </c>
      <c r="AA123">
        <f>1000*(12+1+11)</f>
        <v>24000</v>
      </c>
      <c r="AE123">
        <v>24000</v>
      </c>
      <c r="AQ123" s="38">
        <f>AE123+AI123+AM123</f>
        <v>24000</v>
      </c>
      <c r="AR123" s="86">
        <f>R123+AQ123-V123+AA123</f>
        <v>1726000</v>
      </c>
      <c r="AV123" s="133">
        <v>1773000</v>
      </c>
      <c r="AX123" s="35" t="s">
        <v>231</v>
      </c>
      <c r="BJ123" s="128">
        <f>AV123/'RPI_1880-2010'!B123*100</f>
        <v>2286974.6923612724</v>
      </c>
    </row>
    <row r="124" spans="1:62" x14ac:dyDescent="0.25">
      <c r="A124">
        <v>2002</v>
      </c>
      <c r="E124" s="24">
        <f>1000*(379+407)</f>
        <v>786000</v>
      </c>
      <c r="I124" s="24">
        <f>1000*(436+403)</f>
        <v>839000</v>
      </c>
      <c r="M124" s="24">
        <f>1000*(12+24+7+60)</f>
        <v>103000</v>
      </c>
      <c r="R124" s="38">
        <f>M124+I124+E124</f>
        <v>1728000</v>
      </c>
      <c r="AA124">
        <f>1000*(12+1+6)</f>
        <v>19000</v>
      </c>
      <c r="AE124">
        <v>22000</v>
      </c>
      <c r="AQ124" s="38">
        <f>AE124+AI124+AM124</f>
        <v>22000</v>
      </c>
      <c r="AR124" s="38">
        <f>R124+AQ124-V124+AA124</f>
        <v>1769000</v>
      </c>
      <c r="AX124" s="19" t="s">
        <v>230</v>
      </c>
      <c r="BJ124" s="128"/>
    </row>
    <row r="125" spans="1:62" x14ac:dyDescent="0.25">
      <c r="A125">
        <v>2003</v>
      </c>
      <c r="E125" s="24">
        <f>1000*(404+424)</f>
        <v>828000</v>
      </c>
      <c r="I125" s="24">
        <f>1000*(477+446)</f>
        <v>923000</v>
      </c>
      <c r="M125" s="24">
        <f>1000*(21+28+16+61)</f>
        <v>126000</v>
      </c>
      <c r="R125" s="38">
        <f>M125+I125+E125</f>
        <v>1877000</v>
      </c>
      <c r="AA125">
        <f>1000*(11+1+11)</f>
        <v>23000</v>
      </c>
      <c r="AE125">
        <v>34000</v>
      </c>
      <c r="AQ125" s="38">
        <f>AE125+AI125+AM125</f>
        <v>34000</v>
      </c>
      <c r="AR125" s="86">
        <f>R125+AQ125-V125+AA125</f>
        <v>1934000</v>
      </c>
      <c r="AV125" s="133">
        <v>1939000</v>
      </c>
      <c r="AX125" s="35" t="s">
        <v>229</v>
      </c>
      <c r="BJ125" s="128">
        <f>AV125/'RPI_1880-2010'!B125*100</f>
        <v>2390934.4250166463</v>
      </c>
    </row>
    <row r="126" spans="1:62" x14ac:dyDescent="0.25">
      <c r="A126">
        <v>2004</v>
      </c>
      <c r="E126" s="24">
        <f>436000+471000</f>
        <v>907000</v>
      </c>
      <c r="I126" s="24">
        <f>508000+475000</f>
        <v>983000</v>
      </c>
      <c r="M126" s="24">
        <f>1000*(27+52+21+63)</f>
        <v>163000</v>
      </c>
      <c r="R126" s="38">
        <f>M126+I126+E126</f>
        <v>2053000</v>
      </c>
      <c r="AA126">
        <f>1000*(15+1+4)</f>
        <v>20000</v>
      </c>
      <c r="AE126">
        <v>50000</v>
      </c>
      <c r="AQ126" s="38">
        <f>AE126+AI126+AM126</f>
        <v>50000</v>
      </c>
      <c r="AR126" s="86">
        <f>R126+AQ126-V126+AA126</f>
        <v>2123000</v>
      </c>
      <c r="AV126" s="133">
        <v>2151000</v>
      </c>
      <c r="AX126" s="35" t="s">
        <v>229</v>
      </c>
      <c r="BJ126" s="128">
        <f>AV126/'RPI_1880-2010'!B126*100</f>
        <v>2575646.9052722328</v>
      </c>
    </row>
    <row r="127" spans="1:62" x14ac:dyDescent="0.25">
      <c r="A127">
        <v>2005</v>
      </c>
      <c r="AV127" s="15">
        <v>2207000</v>
      </c>
      <c r="AX127" s="19" t="s">
        <v>204</v>
      </c>
      <c r="BJ127" s="128">
        <f>AV127/'RPI_1880-2010'!B127*100</f>
        <v>2570134.2711742031</v>
      </c>
    </row>
    <row r="128" spans="1:62" x14ac:dyDescent="0.25">
      <c r="A128">
        <v>2006</v>
      </c>
      <c r="AV128" s="28">
        <v>2355000</v>
      </c>
      <c r="AX128" s="19" t="s">
        <v>204</v>
      </c>
      <c r="BJ128" s="128">
        <f>AV128/'RPI_1880-2010'!B128*100</f>
        <v>2657563.6178976474</v>
      </c>
    </row>
    <row r="129" spans="1:62" x14ac:dyDescent="0.25">
      <c r="A129">
        <v>2007</v>
      </c>
      <c r="AV129" s="15">
        <v>2642000</v>
      </c>
      <c r="AX129" s="19" t="s">
        <v>200</v>
      </c>
      <c r="BJ129" s="128">
        <f>AV129/'RPI_1880-2010'!B129*100</f>
        <v>2858874.1965503059</v>
      </c>
    </row>
    <row r="130" spans="1:62" x14ac:dyDescent="0.25">
      <c r="A130">
        <v>2008</v>
      </c>
      <c r="AV130" s="15">
        <v>2991000</v>
      </c>
      <c r="AX130" s="19" t="s">
        <v>200</v>
      </c>
      <c r="BJ130" s="128">
        <f>AV130/'RPI_1880-2010'!B130*100</f>
        <v>3112966.0082013281</v>
      </c>
    </row>
    <row r="131" spans="1:62" x14ac:dyDescent="0.25">
      <c r="A131">
        <v>2009</v>
      </c>
      <c r="AV131" s="28">
        <v>3891000</v>
      </c>
      <c r="AX131" s="19" t="s">
        <v>200</v>
      </c>
      <c r="BJ131" s="128">
        <f>AV131/'RPI_1880-2010'!B131*100</f>
        <v>4070552.0509682079</v>
      </c>
    </row>
    <row r="132" spans="1:62" x14ac:dyDescent="0.25">
      <c r="A132">
        <v>2010</v>
      </c>
      <c r="AV132" s="28">
        <v>4295000</v>
      </c>
      <c r="AX132" s="19" t="s">
        <v>199</v>
      </c>
    </row>
    <row r="133" spans="1:62" x14ac:dyDescent="0.25">
      <c r="A133">
        <v>2011</v>
      </c>
      <c r="AV133" s="28">
        <v>4406000</v>
      </c>
      <c r="AX133" s="19" t="s">
        <v>199</v>
      </c>
    </row>
    <row r="134" spans="1:62" x14ac:dyDescent="0.25">
      <c r="A134">
        <v>2012</v>
      </c>
      <c r="AX134" s="19"/>
    </row>
    <row r="135" spans="1:62" x14ac:dyDescent="0.25">
      <c r="A135">
        <v>2013</v>
      </c>
      <c r="AX135" s="19"/>
    </row>
    <row r="136" spans="1:62" x14ac:dyDescent="0.25">
      <c r="A136">
        <v>2014</v>
      </c>
    </row>
    <row r="137" spans="1:62" x14ac:dyDescent="0.25">
      <c r="A137">
        <v>2015</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138"/>
  <sheetViews>
    <sheetView zoomScale="90" zoomScaleNormal="90" workbookViewId="0">
      <pane xSplit="1" ySplit="2" topLeftCell="BJ124" activePane="bottomRight" state="frozen"/>
      <selection pane="topRight" activeCell="B1" sqref="B1"/>
      <selection pane="bottomLeft" activeCell="A3" sqref="A3"/>
      <selection pane="bottomRight" activeCell="AH119" sqref="AH119"/>
    </sheetView>
  </sheetViews>
  <sheetFormatPr defaultRowHeight="15" outlineLevelCol="1" x14ac:dyDescent="0.25"/>
  <cols>
    <col min="1" max="1" width="9.140625" style="29"/>
    <col min="2" max="2" width="5.28515625" customWidth="1" outlineLevel="1"/>
    <col min="3" max="3" width="3.5703125" customWidth="1" outlineLevel="1"/>
    <col min="4" max="4" width="3.140625" customWidth="1" outlineLevel="1"/>
    <col min="5" max="5" width="13.5703125" style="24" customWidth="1" outlineLevel="1"/>
    <col min="6" max="6" width="7.85546875" customWidth="1" outlineLevel="1"/>
    <col min="7" max="7" width="3.28515625" customWidth="1" outlineLevel="1"/>
    <col min="8" max="8" width="3.140625" customWidth="1" outlineLevel="1"/>
    <col min="9" max="9" width="11.5703125" style="28" customWidth="1" outlineLevel="1"/>
    <col min="10" max="10" width="4.85546875" customWidth="1" outlineLevel="1"/>
    <col min="11" max="11" width="3" customWidth="1" outlineLevel="1"/>
    <col min="12" max="12" width="3.85546875" customWidth="1" outlineLevel="1"/>
    <col min="13" max="13" width="13.42578125" style="24" customWidth="1" outlineLevel="1"/>
    <col min="14" max="14" width="5.140625" customWidth="1" outlineLevel="1"/>
    <col min="15" max="15" width="3.5703125" customWidth="1" outlineLevel="1"/>
    <col min="16" max="16" width="3.28515625" customWidth="1" outlineLevel="1"/>
    <col min="17" max="17" width="13" style="28" customWidth="1" outlineLevel="1"/>
    <col min="18" max="18" width="10.42578125" style="28" customWidth="1" outlineLevel="1"/>
    <col min="19" max="19" width="3" customWidth="1" outlineLevel="1"/>
    <col min="20" max="20" width="3.140625" customWidth="1" outlineLevel="1"/>
    <col min="21" max="21" width="14.140625" style="28" customWidth="1" outlineLevel="1"/>
    <col min="22" max="22" width="12.42578125" customWidth="1" outlineLevel="1"/>
    <col min="23" max="23" width="11.7109375" style="28" customWidth="1" outlineLevel="1"/>
    <col min="24" max="24" width="4.42578125" customWidth="1" outlineLevel="1"/>
    <col min="25" max="25" width="3.140625" customWidth="1" outlineLevel="1"/>
    <col min="26" max="26" width="13.28515625" style="28" customWidth="1" outlineLevel="1"/>
    <col min="27" max="27" width="8.140625" customWidth="1" outlineLevel="1"/>
    <col min="28" max="28" width="5.140625" customWidth="1" outlineLevel="1"/>
    <col min="29" max="29" width="4.85546875" customWidth="1" outlineLevel="1"/>
    <col min="30" max="30" width="13.28515625" style="28" customWidth="1" outlineLevel="1"/>
    <col min="31" max="31" width="7.28515625" customWidth="1" outlineLevel="1"/>
    <col min="32" max="32" width="5.140625" customWidth="1" outlineLevel="1"/>
    <col min="33" max="33" width="3.85546875" customWidth="1" outlineLevel="1"/>
    <col min="34" max="34" width="12.5703125" style="28" customWidth="1" outlineLevel="1"/>
    <col min="35" max="35" width="5.28515625" style="28" customWidth="1" outlineLevel="1"/>
    <col min="36" max="36" width="5" style="45" customWidth="1" outlineLevel="1"/>
    <col min="37" max="37" width="4.5703125" style="28" customWidth="1" outlineLevel="1"/>
    <col min="38" max="38" width="12.5703125" style="28" customWidth="1" outlineLevel="1"/>
    <col min="39" max="39" width="8.7109375" customWidth="1" outlineLevel="1"/>
    <col min="40" max="40" width="3" customWidth="1" outlineLevel="1"/>
    <col min="41" max="41" width="3.140625" customWidth="1" outlineLevel="1"/>
    <col min="42" max="42" width="13.140625" customWidth="1" outlineLevel="1"/>
    <col min="43" max="43" width="12.42578125" customWidth="1" outlineLevel="1"/>
    <col min="44" max="44" width="8.140625" customWidth="1" outlineLevel="1"/>
    <col min="45" max="45" width="2.85546875" customWidth="1" outlineLevel="1"/>
    <col min="46" max="46" width="3.28515625" customWidth="1" outlineLevel="1"/>
    <col min="47" max="47" width="11.85546875" customWidth="1" outlineLevel="1"/>
    <col min="48" max="48" width="11.85546875" customWidth="1"/>
    <col min="49" max="49" width="4.7109375" customWidth="1" outlineLevel="1"/>
    <col min="50" max="50" width="3" customWidth="1" outlineLevel="1"/>
    <col min="51" max="51" width="3.42578125" customWidth="1" outlineLevel="1"/>
    <col min="52" max="52" width="11.28515625" customWidth="1" outlineLevel="1"/>
    <col min="53" max="53" width="4.7109375" customWidth="1" outlineLevel="1"/>
    <col min="54" max="54" width="3.140625" customWidth="1" outlineLevel="1"/>
    <col min="55" max="55" width="2.7109375" customWidth="1" outlineLevel="1"/>
    <col min="56" max="56" width="12.85546875" customWidth="1" outlineLevel="1"/>
    <col min="57" max="57" width="6.85546875" customWidth="1" outlineLevel="1"/>
    <col min="58" max="58" width="4.28515625" customWidth="1" outlineLevel="1"/>
    <col min="59" max="59" width="4.85546875" customWidth="1" outlineLevel="1"/>
    <col min="60" max="60" width="12.85546875" customWidth="1"/>
    <col min="61" max="61" width="11.7109375" customWidth="1"/>
    <col min="62" max="62" width="7.140625" customWidth="1"/>
    <col min="63" max="63" width="3.5703125" customWidth="1"/>
    <col min="64" max="64" width="3.42578125" customWidth="1"/>
    <col min="65" max="69" width="13.28515625" customWidth="1"/>
    <col min="70" max="70" width="15.7109375" customWidth="1"/>
    <col min="71" max="71" width="8.42578125" customWidth="1"/>
    <col min="72" max="72" width="4" customWidth="1"/>
    <col min="73" max="73" width="3.140625" customWidth="1"/>
    <col min="74" max="74" width="13.140625" style="28" customWidth="1"/>
    <col min="75" max="75" width="14.28515625" style="28" customWidth="1"/>
    <col min="76" max="76" width="11.5703125" bestFit="1" customWidth="1"/>
    <col min="77" max="77" width="60.140625" customWidth="1"/>
  </cols>
  <sheetData>
    <row r="1" spans="1:77" x14ac:dyDescent="0.25">
      <c r="B1" s="49" t="s">
        <v>7</v>
      </c>
      <c r="C1" s="8"/>
      <c r="D1" s="8"/>
      <c r="E1" s="21"/>
      <c r="G1" s="8"/>
      <c r="H1" s="8"/>
      <c r="I1" s="25"/>
      <c r="J1" s="8"/>
      <c r="K1" s="8"/>
      <c r="L1" s="8"/>
      <c r="M1" s="21"/>
      <c r="N1" s="8"/>
      <c r="O1" s="8"/>
      <c r="P1" s="8"/>
      <c r="Q1" s="25"/>
      <c r="R1" s="25"/>
      <c r="S1" s="8"/>
      <c r="T1" s="8"/>
      <c r="U1" s="25"/>
      <c r="V1" s="8"/>
      <c r="W1" s="34" t="s">
        <v>6</v>
      </c>
      <c r="X1" s="7"/>
      <c r="Y1" s="7"/>
      <c r="Z1" s="30"/>
      <c r="AA1" s="7"/>
      <c r="AB1" s="7"/>
      <c r="AC1" s="7"/>
      <c r="AD1" s="30"/>
      <c r="AE1" s="7"/>
      <c r="AF1" s="7"/>
      <c r="AG1" s="7"/>
      <c r="AH1" s="30"/>
      <c r="AI1" s="30"/>
      <c r="AJ1" s="43"/>
      <c r="AK1" s="30"/>
      <c r="AL1" s="30"/>
      <c r="AM1" s="7"/>
      <c r="AN1" s="7"/>
      <c r="AO1" s="7"/>
      <c r="AP1" s="7"/>
      <c r="AQ1" s="7"/>
    </row>
    <row r="2" spans="1:77" ht="52.15" customHeight="1" x14ac:dyDescent="0.25">
      <c r="A2" s="29" t="s">
        <v>0</v>
      </c>
      <c r="B2" s="3" t="s">
        <v>1</v>
      </c>
      <c r="C2" s="3" t="s">
        <v>2</v>
      </c>
      <c r="D2" s="3" t="s">
        <v>3</v>
      </c>
      <c r="E2" s="26" t="s">
        <v>56</v>
      </c>
      <c r="F2" s="3" t="s">
        <v>1</v>
      </c>
      <c r="G2" s="3" t="s">
        <v>2</v>
      </c>
      <c r="H2" s="3" t="s">
        <v>3</v>
      </c>
      <c r="I2" s="22" t="s">
        <v>5</v>
      </c>
      <c r="J2" s="3" t="s">
        <v>1</v>
      </c>
      <c r="K2" s="3" t="s">
        <v>2</v>
      </c>
      <c r="L2" s="3" t="s">
        <v>3</v>
      </c>
      <c r="M2" s="22" t="s">
        <v>4</v>
      </c>
      <c r="N2" s="3" t="s">
        <v>1</v>
      </c>
      <c r="O2" s="3" t="s">
        <v>2</v>
      </c>
      <c r="P2" s="3" t="s">
        <v>3</v>
      </c>
      <c r="Q2" s="26" t="s">
        <v>55</v>
      </c>
      <c r="R2" s="32" t="s">
        <v>1</v>
      </c>
      <c r="S2" s="2" t="s">
        <v>2</v>
      </c>
      <c r="T2" s="2" t="s">
        <v>3</v>
      </c>
      <c r="U2" s="32" t="s">
        <v>191</v>
      </c>
      <c r="V2" s="3" t="s">
        <v>219</v>
      </c>
      <c r="W2" s="31" t="s">
        <v>1</v>
      </c>
      <c r="X2" s="6" t="s">
        <v>2</v>
      </c>
      <c r="Y2" s="6" t="s">
        <v>3</v>
      </c>
      <c r="Z2" s="31" t="s">
        <v>56</v>
      </c>
      <c r="AA2" s="6" t="s">
        <v>1</v>
      </c>
      <c r="AB2" s="6" t="s">
        <v>2</v>
      </c>
      <c r="AC2" s="6" t="s">
        <v>3</v>
      </c>
      <c r="AD2" s="31" t="s">
        <v>5</v>
      </c>
      <c r="AE2" s="6" t="s">
        <v>1</v>
      </c>
      <c r="AF2" s="6" t="s">
        <v>2</v>
      </c>
      <c r="AG2" s="6" t="s">
        <v>3</v>
      </c>
      <c r="AH2" s="31" t="s">
        <v>4</v>
      </c>
      <c r="AI2" s="31" t="s">
        <v>1</v>
      </c>
      <c r="AJ2" s="44" t="s">
        <v>2</v>
      </c>
      <c r="AK2" s="31" t="s">
        <v>3</v>
      </c>
      <c r="AL2" s="31" t="s">
        <v>55</v>
      </c>
      <c r="AM2" s="5" t="s">
        <v>1</v>
      </c>
      <c r="AN2" s="5" t="s">
        <v>2</v>
      </c>
      <c r="AO2" s="5" t="s">
        <v>3</v>
      </c>
      <c r="AP2" s="5" t="s">
        <v>36</v>
      </c>
      <c r="AQ2" s="6" t="s">
        <v>206</v>
      </c>
      <c r="AR2" s="2" t="s">
        <v>1</v>
      </c>
      <c r="AS2" s="2" t="s">
        <v>2</v>
      </c>
      <c r="AT2" s="2" t="s">
        <v>3</v>
      </c>
      <c r="AU2" s="2" t="s">
        <v>28</v>
      </c>
      <c r="AV2" s="80" t="s">
        <v>121</v>
      </c>
      <c r="AW2" s="3" t="s">
        <v>1</v>
      </c>
      <c r="AX2" s="3" t="s">
        <v>2</v>
      </c>
      <c r="AY2" s="3" t="s">
        <v>3</v>
      </c>
      <c r="AZ2" s="3" t="s">
        <v>17</v>
      </c>
      <c r="BA2" s="3" t="s">
        <v>1</v>
      </c>
      <c r="BB2" s="3" t="s">
        <v>2</v>
      </c>
      <c r="BC2" s="3" t="s">
        <v>3</v>
      </c>
      <c r="BD2" s="3" t="s">
        <v>16</v>
      </c>
      <c r="BE2" s="2" t="s">
        <v>1</v>
      </c>
      <c r="BF2" s="2" t="s">
        <v>2</v>
      </c>
      <c r="BG2" s="2" t="s">
        <v>3</v>
      </c>
      <c r="BH2" s="2" t="s">
        <v>27</v>
      </c>
      <c r="BI2" s="117" t="s">
        <v>207</v>
      </c>
      <c r="BJ2" s="2" t="s">
        <v>1</v>
      </c>
      <c r="BK2" s="2" t="s">
        <v>2</v>
      </c>
      <c r="BL2" s="2" t="s">
        <v>3</v>
      </c>
      <c r="BM2" s="2" t="s">
        <v>232</v>
      </c>
      <c r="BN2" s="2" t="s">
        <v>123</v>
      </c>
      <c r="BO2" s="2" t="s">
        <v>122</v>
      </c>
      <c r="BP2" s="2" t="s">
        <v>233</v>
      </c>
      <c r="BQ2" s="2" t="s">
        <v>131</v>
      </c>
      <c r="BR2" s="85" t="s">
        <v>149</v>
      </c>
      <c r="BS2" s="3" t="s">
        <v>1</v>
      </c>
      <c r="BT2" s="3" t="s">
        <v>2</v>
      </c>
      <c r="BU2" s="3" t="s">
        <v>3</v>
      </c>
      <c r="BV2" s="26" t="s">
        <v>40</v>
      </c>
      <c r="BW2" s="26" t="s">
        <v>41</v>
      </c>
      <c r="BX2" s="71" t="s">
        <v>222</v>
      </c>
      <c r="BY2" s="3" t="s">
        <v>8</v>
      </c>
    </row>
    <row r="3" spans="1:77" s="9" customFormat="1" ht="60" x14ac:dyDescent="0.25">
      <c r="A3" s="83">
        <v>1880</v>
      </c>
      <c r="B3" s="1"/>
      <c r="C3" s="1"/>
      <c r="D3" s="1"/>
      <c r="E3" s="28">
        <f>43421</f>
        <v>43421</v>
      </c>
      <c r="F3" s="104">
        <v>364</v>
      </c>
      <c r="G3" s="104">
        <v>4</v>
      </c>
      <c r="H3" s="104">
        <v>6</v>
      </c>
      <c r="I3" s="109">
        <f t="shared" ref="I3:I8" si="0">(F3*240)+(G3*12)+H3</f>
        <v>87414</v>
      </c>
      <c r="J3" s="103">
        <v>660</v>
      </c>
      <c r="K3" s="103">
        <v>12</v>
      </c>
      <c r="L3" s="103">
        <v>8</v>
      </c>
      <c r="M3" s="105">
        <f t="shared" ref="M3:M42" si="1">L3+(12*K3)+(240*J3)</f>
        <v>158552</v>
      </c>
      <c r="N3" s="103">
        <v>64</v>
      </c>
      <c r="O3" s="103">
        <v>14</v>
      </c>
      <c r="P3" s="103">
        <v>6</v>
      </c>
      <c r="Q3" s="105">
        <f t="shared" ref="Q3:Q42" si="2">P3+(12*O3)+(240*N3)</f>
        <v>15534</v>
      </c>
      <c r="R3" s="93"/>
      <c r="S3" s="1"/>
      <c r="T3" s="1"/>
      <c r="U3" s="93"/>
      <c r="V3" s="24">
        <f t="shared" ref="V3:V37" si="3">(I3+E3+M3+Q3+AZ3)/240</f>
        <v>1281.1666666666667</v>
      </c>
      <c r="W3">
        <v>384</v>
      </c>
      <c r="X3">
        <v>13</v>
      </c>
      <c r="Y3">
        <v>11</v>
      </c>
      <c r="Z3" s="28">
        <f t="shared" ref="Z3:Z42" si="4">(W3*240)+(X3*12)+Y3</f>
        <v>92327</v>
      </c>
      <c r="AE3" s="1"/>
      <c r="AF3" s="1"/>
      <c r="AG3" s="1"/>
      <c r="AH3" s="93"/>
      <c r="AI3" s="93"/>
      <c r="AJ3" s="94"/>
      <c r="AK3" s="93"/>
      <c r="AL3" s="93"/>
      <c r="AM3" s="1"/>
      <c r="AN3" s="1"/>
      <c r="AO3" s="1"/>
      <c r="AP3" s="99" t="s">
        <v>188</v>
      </c>
      <c r="AQ3" s="112">
        <f t="shared" ref="AQ3:AQ8" si="5">(Z3+I3+AH3+AL3+BD3)/240</f>
        <v>748.92083333333335</v>
      </c>
      <c r="AR3" s="1"/>
      <c r="AS3" s="1"/>
      <c r="AT3" s="1"/>
      <c r="AU3" s="1"/>
      <c r="AV3" s="116">
        <f>AU3+AQ3+V3-BH3</f>
        <v>2019.4250000000002</v>
      </c>
      <c r="AW3" s="1"/>
      <c r="AX3" s="1"/>
      <c r="AY3" s="1"/>
      <c r="AZ3">
        <f>2559</f>
        <v>2559</v>
      </c>
      <c r="BA3" s="1"/>
      <c r="BB3" s="1"/>
      <c r="BC3" s="1"/>
      <c r="BE3" s="1"/>
      <c r="BF3" s="1"/>
      <c r="BG3" s="1"/>
      <c r="BH3" s="111">
        <f t="shared" ref="BH3:BH42" si="6">(AZ3+BD3)/240</f>
        <v>10.6625</v>
      </c>
      <c r="BI3" s="102">
        <f>AV3+BH3</f>
        <v>2030.0875000000001</v>
      </c>
      <c r="BJ3" s="1"/>
      <c r="BK3" s="1"/>
      <c r="BL3" s="1"/>
      <c r="BM3" s="1"/>
      <c r="BN3" s="1"/>
      <c r="BO3" s="1"/>
      <c r="BP3" s="1"/>
      <c r="BQ3" s="1"/>
      <c r="BR3" s="1"/>
      <c r="BS3" s="1"/>
      <c r="BT3" s="1"/>
      <c r="BU3" s="1"/>
      <c r="BV3" s="93"/>
      <c r="BW3" s="28">
        <f t="shared" ref="BW3:BW66" si="7">BI3+BR3</f>
        <v>2030.0875000000001</v>
      </c>
      <c r="BX3" s="128">
        <f>BW3/'RPI_1880-2010'!B2*100</f>
        <v>157615.48913043478</v>
      </c>
      <c r="BY3" t="s">
        <v>182</v>
      </c>
    </row>
    <row r="4" spans="1:77" s="9" customFormat="1" x14ac:dyDescent="0.25">
      <c r="A4" s="83">
        <v>1881</v>
      </c>
      <c r="B4" s="1"/>
      <c r="C4" s="1"/>
      <c r="D4" s="1"/>
      <c r="E4" s="28">
        <f>32418+25575+35992</f>
        <v>93985</v>
      </c>
      <c r="F4" s="104">
        <v>290</v>
      </c>
      <c r="G4" s="104">
        <v>8</v>
      </c>
      <c r="H4" s="104">
        <v>0</v>
      </c>
      <c r="I4" s="109">
        <f t="shared" si="0"/>
        <v>69696</v>
      </c>
      <c r="J4" s="103">
        <v>683</v>
      </c>
      <c r="K4" s="103">
        <v>9</v>
      </c>
      <c r="L4" s="103">
        <v>10</v>
      </c>
      <c r="M4" s="105">
        <f t="shared" si="1"/>
        <v>164038</v>
      </c>
      <c r="N4" s="103">
        <v>192</v>
      </c>
      <c r="O4" s="103">
        <v>5</v>
      </c>
      <c r="P4" s="103">
        <v>11</v>
      </c>
      <c r="Q4" s="105">
        <f t="shared" si="2"/>
        <v>46151</v>
      </c>
      <c r="R4" s="93"/>
      <c r="S4" s="1"/>
      <c r="T4" s="1"/>
      <c r="U4" s="93"/>
      <c r="V4" s="24">
        <f t="shared" si="3"/>
        <v>1557.7916666666667</v>
      </c>
      <c r="W4">
        <v>377</v>
      </c>
      <c r="X4">
        <v>12</v>
      </c>
      <c r="Y4">
        <v>7</v>
      </c>
      <c r="Z4" s="28">
        <f t="shared" si="4"/>
        <v>90631</v>
      </c>
      <c r="AE4" s="1"/>
      <c r="AF4" s="1"/>
      <c r="AG4" s="1"/>
      <c r="AH4" s="93"/>
      <c r="AI4" s="93"/>
      <c r="AJ4" s="94"/>
      <c r="AK4" s="93"/>
      <c r="AL4" s="93"/>
      <c r="AM4" s="1"/>
      <c r="AN4" s="1"/>
      <c r="AO4" s="1"/>
      <c r="AP4" s="1"/>
      <c r="AQ4" s="112">
        <f t="shared" si="5"/>
        <v>668.0291666666667</v>
      </c>
      <c r="AR4" s="1"/>
      <c r="AS4" s="1"/>
      <c r="AT4" s="1"/>
      <c r="AU4" s="1"/>
      <c r="AV4" s="116">
        <f t="shared" ref="AV4:AV67" si="8">AU4+AQ4+V4-BH4</f>
        <v>2225.8208333333332</v>
      </c>
      <c r="AW4" s="1"/>
      <c r="AX4" s="1"/>
      <c r="AY4" s="1"/>
      <c r="AZ4"/>
      <c r="BA4" s="1"/>
      <c r="BB4" s="1"/>
      <c r="BC4" s="1"/>
      <c r="BE4" s="1"/>
      <c r="BF4" s="1"/>
      <c r="BG4" s="1"/>
      <c r="BH4" s="111"/>
      <c r="BI4" s="102">
        <f t="shared" ref="BI4:BI67" si="9">AV4+BH4</f>
        <v>2225.8208333333332</v>
      </c>
      <c r="BJ4" s="1"/>
      <c r="BK4" s="1"/>
      <c r="BL4" s="1"/>
      <c r="BM4" s="1"/>
      <c r="BN4" s="1"/>
      <c r="BO4" s="1"/>
      <c r="BP4" s="1"/>
      <c r="BQ4" s="1"/>
      <c r="BR4" s="1"/>
      <c r="BS4" s="1"/>
      <c r="BT4" s="1"/>
      <c r="BU4" s="1"/>
      <c r="BV4" s="93"/>
      <c r="BW4" s="28">
        <f t="shared" si="7"/>
        <v>2225.8208333333332</v>
      </c>
      <c r="BX4" s="128">
        <f>BW4/'RPI_1880-2010'!B3*100</f>
        <v>175123.59034880673</v>
      </c>
      <c r="BY4" t="s">
        <v>182</v>
      </c>
    </row>
    <row r="5" spans="1:77" s="9" customFormat="1" x14ac:dyDescent="0.25">
      <c r="A5" s="83">
        <v>1882</v>
      </c>
      <c r="B5" s="1"/>
      <c r="C5" s="1"/>
      <c r="D5" s="1"/>
      <c r="E5" s="28">
        <f>32800+40130+37266+43450</f>
        <v>153646</v>
      </c>
      <c r="F5" s="104">
        <v>295</v>
      </c>
      <c r="G5" s="104">
        <v>6</v>
      </c>
      <c r="H5" s="104">
        <v>6</v>
      </c>
      <c r="I5" s="109">
        <f t="shared" si="0"/>
        <v>70878</v>
      </c>
      <c r="J5" s="103">
        <v>851</v>
      </c>
      <c r="K5" s="103">
        <v>11</v>
      </c>
      <c r="L5" s="103">
        <v>7</v>
      </c>
      <c r="M5" s="105">
        <f t="shared" si="1"/>
        <v>204379</v>
      </c>
      <c r="N5" s="103">
        <v>79</v>
      </c>
      <c r="O5" s="103">
        <v>0</v>
      </c>
      <c r="P5" s="103">
        <v>3</v>
      </c>
      <c r="Q5" s="105">
        <f t="shared" si="2"/>
        <v>18963</v>
      </c>
      <c r="R5" s="93"/>
      <c r="S5" s="1"/>
      <c r="T5" s="1"/>
      <c r="U5" s="93"/>
      <c r="V5" s="24">
        <f t="shared" si="3"/>
        <v>1866.1083333333333</v>
      </c>
      <c r="W5">
        <v>390</v>
      </c>
      <c r="X5">
        <v>17</v>
      </c>
      <c r="Y5">
        <v>10</v>
      </c>
      <c r="Z5" s="28">
        <f t="shared" si="4"/>
        <v>93814</v>
      </c>
      <c r="AE5" s="1"/>
      <c r="AF5" s="1"/>
      <c r="AG5" s="1"/>
      <c r="AH5" s="93"/>
      <c r="AI5" s="93"/>
      <c r="AJ5" s="94"/>
      <c r="AK5" s="93"/>
      <c r="AL5" s="93"/>
      <c r="AM5" s="1"/>
      <c r="AN5" s="1"/>
      <c r="AO5" s="1"/>
      <c r="AP5" s="1"/>
      <c r="AQ5" s="112">
        <f t="shared" si="5"/>
        <v>686.2166666666667</v>
      </c>
      <c r="AR5" s="1"/>
      <c r="AS5" s="1"/>
      <c r="AT5" s="1"/>
      <c r="AU5" s="1"/>
      <c r="AV5" s="116">
        <f t="shared" si="8"/>
        <v>2552.3249999999998</v>
      </c>
      <c r="AW5" s="1"/>
      <c r="AX5" s="1"/>
      <c r="AY5" s="1"/>
      <c r="AZ5"/>
      <c r="BA5" s="1"/>
      <c r="BB5" s="1"/>
      <c r="BC5" s="1"/>
      <c r="BE5" s="1"/>
      <c r="BF5" s="1"/>
      <c r="BG5" s="1"/>
      <c r="BH5" s="111"/>
      <c r="BI5" s="102">
        <f t="shared" si="9"/>
        <v>2552.3249999999998</v>
      </c>
      <c r="BJ5" s="1"/>
      <c r="BK5" s="1"/>
      <c r="BL5" s="1"/>
      <c r="BM5" s="1"/>
      <c r="BN5" s="1"/>
      <c r="BO5" s="1"/>
      <c r="BP5" s="1"/>
      <c r="BQ5" s="1"/>
      <c r="BR5" s="1"/>
      <c r="BS5" s="1"/>
      <c r="BT5" s="1"/>
      <c r="BU5" s="1"/>
      <c r="BV5" s="93"/>
      <c r="BW5" s="28">
        <f t="shared" si="7"/>
        <v>2552.3249999999998</v>
      </c>
      <c r="BX5" s="128">
        <f>BW5/'RPI_1880-2010'!B4*100</f>
        <v>200496.85781618225</v>
      </c>
      <c r="BY5" t="s">
        <v>182</v>
      </c>
    </row>
    <row r="6" spans="1:77" s="9" customFormat="1" x14ac:dyDescent="0.25">
      <c r="A6" s="83">
        <v>1883</v>
      </c>
      <c r="B6" s="1"/>
      <c r="C6" s="1"/>
      <c r="D6" s="1"/>
      <c r="E6" s="28">
        <f>35181+30676+31030</f>
        <v>96887</v>
      </c>
      <c r="F6" s="104">
        <v>364</v>
      </c>
      <c r="G6" s="104">
        <v>4</v>
      </c>
      <c r="H6" s="104">
        <v>0</v>
      </c>
      <c r="I6" s="109">
        <f t="shared" si="0"/>
        <v>87408</v>
      </c>
      <c r="J6" s="103">
        <v>920</v>
      </c>
      <c r="K6" s="103">
        <v>13</v>
      </c>
      <c r="L6" s="103">
        <v>6</v>
      </c>
      <c r="M6" s="105">
        <f t="shared" si="1"/>
        <v>220962</v>
      </c>
      <c r="N6" s="103">
        <v>91</v>
      </c>
      <c r="O6" s="103">
        <v>1</v>
      </c>
      <c r="P6" s="103">
        <v>0</v>
      </c>
      <c r="Q6" s="105">
        <f t="shared" si="2"/>
        <v>21852</v>
      </c>
      <c r="R6" s="93"/>
      <c r="S6" s="1"/>
      <c r="T6" s="1"/>
      <c r="U6" s="93"/>
      <c r="V6" s="24">
        <f t="shared" si="3"/>
        <v>1798.1208333333334</v>
      </c>
      <c r="W6">
        <v>342</v>
      </c>
      <c r="X6">
        <v>1</v>
      </c>
      <c r="Y6">
        <v>11</v>
      </c>
      <c r="Z6" s="28">
        <f t="shared" si="4"/>
        <v>82103</v>
      </c>
      <c r="AE6" s="1"/>
      <c r="AF6" s="1"/>
      <c r="AG6" s="1"/>
      <c r="AH6" s="93"/>
      <c r="AI6" s="93"/>
      <c r="AJ6" s="94"/>
      <c r="AK6" s="93"/>
      <c r="AL6" s="93"/>
      <c r="AM6" s="1"/>
      <c r="AN6" s="1"/>
      <c r="AO6" s="1"/>
      <c r="AP6" s="1"/>
      <c r="AQ6" s="112">
        <f t="shared" si="5"/>
        <v>706.29583333333335</v>
      </c>
      <c r="AR6" s="1"/>
      <c r="AS6" s="1"/>
      <c r="AT6" s="1"/>
      <c r="AU6" s="1"/>
      <c r="AV6" s="116">
        <f t="shared" si="8"/>
        <v>2485.916666666667</v>
      </c>
      <c r="AW6" s="1"/>
      <c r="AX6" s="1"/>
      <c r="AY6" s="1"/>
      <c r="AZ6">
        <f>4440</f>
        <v>4440</v>
      </c>
      <c r="BA6" s="1"/>
      <c r="BB6" s="1"/>
      <c r="BC6" s="1"/>
      <c r="BE6" s="1"/>
      <c r="BF6" s="1"/>
      <c r="BG6" s="1"/>
      <c r="BH6" s="111">
        <f t="shared" si="6"/>
        <v>18.5</v>
      </c>
      <c r="BI6" s="102">
        <f t="shared" si="9"/>
        <v>2504.416666666667</v>
      </c>
      <c r="BJ6" s="1"/>
      <c r="BK6" s="1"/>
      <c r="BL6" s="1"/>
      <c r="BM6" s="1"/>
      <c r="BN6" s="1"/>
      <c r="BO6" s="1"/>
      <c r="BP6" s="1"/>
      <c r="BQ6" s="1"/>
      <c r="BR6" s="1"/>
      <c r="BS6" s="1"/>
      <c r="BT6" s="1"/>
      <c r="BU6" s="1"/>
      <c r="BV6" s="93"/>
      <c r="BW6" s="28">
        <f t="shared" si="7"/>
        <v>2504.416666666667</v>
      </c>
      <c r="BX6" s="128">
        <f>BW6/'RPI_1880-2010'!B5*100</f>
        <v>196733.43807279394</v>
      </c>
      <c r="BY6" t="s">
        <v>182</v>
      </c>
    </row>
    <row r="7" spans="1:77" s="9" customFormat="1" x14ac:dyDescent="0.25">
      <c r="A7" s="83">
        <v>1884</v>
      </c>
      <c r="B7" s="1"/>
      <c r="C7" s="1"/>
      <c r="D7" s="1"/>
      <c r="E7" s="28">
        <f>29313+35148</f>
        <v>64461</v>
      </c>
      <c r="F7" s="104">
        <v>267</v>
      </c>
      <c r="G7" s="104">
        <v>8</v>
      </c>
      <c r="H7" s="104">
        <v>9</v>
      </c>
      <c r="I7" s="109">
        <f t="shared" si="0"/>
        <v>64185</v>
      </c>
      <c r="J7" s="103">
        <v>655</v>
      </c>
      <c r="K7" s="103">
        <v>0</v>
      </c>
      <c r="L7" s="103">
        <v>3</v>
      </c>
      <c r="M7" s="105">
        <f t="shared" si="1"/>
        <v>157203</v>
      </c>
      <c r="N7" s="103">
        <v>128</v>
      </c>
      <c r="O7" s="103">
        <v>13</v>
      </c>
      <c r="P7" s="103">
        <v>2</v>
      </c>
      <c r="Q7" s="105">
        <f t="shared" si="2"/>
        <v>30878</v>
      </c>
      <c r="R7" s="93"/>
      <c r="S7" s="1"/>
      <c r="T7" s="1"/>
      <c r="U7" s="93"/>
      <c r="V7" s="24">
        <f t="shared" si="3"/>
        <v>1319.6958333333334</v>
      </c>
      <c r="W7">
        <v>434</v>
      </c>
      <c r="X7">
        <v>3</v>
      </c>
      <c r="Y7">
        <v>1</v>
      </c>
      <c r="Z7" s="28">
        <f t="shared" si="4"/>
        <v>104197</v>
      </c>
      <c r="AE7" s="1"/>
      <c r="AF7" s="1"/>
      <c r="AG7" s="1"/>
      <c r="AH7" s="93"/>
      <c r="AI7" s="93"/>
      <c r="AJ7" s="94"/>
      <c r="AK7" s="93"/>
      <c r="AL7" s="93"/>
      <c r="AM7" s="1"/>
      <c r="AN7" s="1"/>
      <c r="AO7" s="1"/>
      <c r="AP7" s="1"/>
      <c r="AQ7" s="112">
        <f t="shared" si="5"/>
        <v>701.5916666666667</v>
      </c>
      <c r="AR7" s="1"/>
      <c r="AS7" s="1"/>
      <c r="AT7" s="1"/>
      <c r="AU7" s="1"/>
      <c r="AV7" s="116">
        <f t="shared" si="8"/>
        <v>2021.2875000000001</v>
      </c>
      <c r="AW7" s="1"/>
      <c r="AX7" s="1"/>
      <c r="AY7" s="1"/>
      <c r="AZ7"/>
      <c r="BA7" s="1"/>
      <c r="BB7" s="1"/>
      <c r="BC7" s="1"/>
      <c r="BE7" s="1"/>
      <c r="BF7" s="1"/>
      <c r="BG7" s="1"/>
      <c r="BH7" s="111"/>
      <c r="BI7" s="102">
        <f t="shared" si="9"/>
        <v>2021.2875000000001</v>
      </c>
      <c r="BJ7" s="1"/>
      <c r="BK7" s="1"/>
      <c r="BL7" s="1"/>
      <c r="BM7" s="1"/>
      <c r="BN7" s="1"/>
      <c r="BO7" s="1"/>
      <c r="BP7" s="1"/>
      <c r="BQ7" s="1"/>
      <c r="BR7" s="1"/>
      <c r="BS7" s="1"/>
      <c r="BT7" s="1"/>
      <c r="BU7" s="1"/>
      <c r="BV7" s="93"/>
      <c r="BW7" s="28">
        <f t="shared" si="7"/>
        <v>2021.2875000000001</v>
      </c>
      <c r="BX7" s="128">
        <f>BW7/'RPI_1880-2010'!B6*100</f>
        <v>164332.31707317074</v>
      </c>
      <c r="BY7" t="s">
        <v>182</v>
      </c>
    </row>
    <row r="8" spans="1:77" s="9" customFormat="1" x14ac:dyDescent="0.25">
      <c r="A8" s="83">
        <v>1885</v>
      </c>
      <c r="B8" s="1"/>
      <c r="C8" s="1"/>
      <c r="D8" s="1"/>
      <c r="E8" s="28">
        <f>47471+31172</f>
        <v>78643</v>
      </c>
      <c r="F8" s="104">
        <v>191</v>
      </c>
      <c r="G8" s="104">
        <v>19</v>
      </c>
      <c r="H8" s="104">
        <v>0</v>
      </c>
      <c r="I8" s="109">
        <f t="shared" si="0"/>
        <v>46068</v>
      </c>
      <c r="J8" s="104">
        <v>472</v>
      </c>
      <c r="K8" s="104">
        <v>9</v>
      </c>
      <c r="L8" s="104">
        <v>6</v>
      </c>
      <c r="M8" s="105">
        <f t="shared" si="1"/>
        <v>113394</v>
      </c>
      <c r="N8" s="104">
        <v>69</v>
      </c>
      <c r="O8" s="104">
        <v>3</v>
      </c>
      <c r="P8" s="104">
        <v>11</v>
      </c>
      <c r="Q8" s="105">
        <f t="shared" si="2"/>
        <v>16607</v>
      </c>
      <c r="R8" s="93"/>
      <c r="S8" s="1"/>
      <c r="T8" s="1"/>
      <c r="U8" s="93"/>
      <c r="V8" s="24">
        <f t="shared" si="3"/>
        <v>1073.5</v>
      </c>
      <c r="W8" s="9">
        <v>383</v>
      </c>
      <c r="X8" s="9">
        <v>19</v>
      </c>
      <c r="Y8" s="9">
        <v>10</v>
      </c>
      <c r="Z8" s="28">
        <f t="shared" si="4"/>
        <v>92158</v>
      </c>
      <c r="AE8" s="1"/>
      <c r="AF8" s="1"/>
      <c r="AG8" s="1"/>
      <c r="AH8" s="93"/>
      <c r="AI8" s="93"/>
      <c r="AJ8" s="94"/>
      <c r="AK8" s="93"/>
      <c r="AL8" s="93"/>
      <c r="AM8" s="1"/>
      <c r="AN8" s="1"/>
      <c r="AO8" s="1"/>
      <c r="AP8" s="1"/>
      <c r="AQ8" s="112">
        <f t="shared" si="5"/>
        <v>575.94166666666672</v>
      </c>
      <c r="AR8" s="1"/>
      <c r="AS8" s="1"/>
      <c r="AT8" s="1"/>
      <c r="AU8" s="1"/>
      <c r="AV8" s="116">
        <f t="shared" si="8"/>
        <v>1637.2416666666666</v>
      </c>
      <c r="AW8" s="1"/>
      <c r="AX8" s="1"/>
      <c r="AY8" s="1"/>
      <c r="AZ8" s="9">
        <f>2928</f>
        <v>2928</v>
      </c>
      <c r="BA8" s="1"/>
      <c r="BB8" s="1"/>
      <c r="BC8" s="1"/>
      <c r="BE8" s="1"/>
      <c r="BF8" s="1"/>
      <c r="BG8" s="1"/>
      <c r="BH8" s="111">
        <f t="shared" si="6"/>
        <v>12.2</v>
      </c>
      <c r="BI8" s="102">
        <f t="shared" si="9"/>
        <v>1649.4416666666666</v>
      </c>
      <c r="BJ8" s="1"/>
      <c r="BK8" s="1"/>
      <c r="BL8" s="1"/>
      <c r="BM8" s="1"/>
      <c r="BN8" s="1"/>
      <c r="BO8" s="1"/>
      <c r="BP8" s="1"/>
      <c r="BQ8" s="1"/>
      <c r="BR8" s="1"/>
      <c r="BS8" s="1"/>
      <c r="BT8" s="1"/>
      <c r="BU8" s="1"/>
      <c r="BV8" s="93"/>
      <c r="BW8" s="28">
        <f t="shared" si="7"/>
        <v>1649.4416666666666</v>
      </c>
      <c r="BX8" s="128">
        <f>BW8/'RPI_1880-2010'!B7*100</f>
        <v>138958.85987082278</v>
      </c>
      <c r="BY8" s="9" t="s">
        <v>182</v>
      </c>
    </row>
    <row r="9" spans="1:77" s="9" customFormat="1" x14ac:dyDescent="0.25">
      <c r="A9" s="83">
        <v>1886</v>
      </c>
      <c r="B9" s="1"/>
      <c r="C9" s="1"/>
      <c r="D9" s="1"/>
      <c r="E9" s="28">
        <f>37374+41987</f>
        <v>79361</v>
      </c>
      <c r="F9" s="1"/>
      <c r="G9" s="1"/>
      <c r="H9" s="1"/>
      <c r="I9" s="108">
        <f>57882+8354</f>
        <v>66236</v>
      </c>
      <c r="J9" s="104">
        <v>1037</v>
      </c>
      <c r="K9" s="104">
        <v>5</v>
      </c>
      <c r="L9" s="104">
        <v>9</v>
      </c>
      <c r="M9" s="105">
        <f t="shared" si="1"/>
        <v>248949</v>
      </c>
      <c r="N9" s="104">
        <v>50</v>
      </c>
      <c r="O9" s="104">
        <v>0</v>
      </c>
      <c r="P9" s="104">
        <v>0</v>
      </c>
      <c r="Q9" s="105">
        <f t="shared" si="2"/>
        <v>12000</v>
      </c>
      <c r="R9" s="93"/>
      <c r="S9" s="1"/>
      <c r="T9" s="1"/>
      <c r="U9" s="93"/>
      <c r="V9" s="24">
        <f t="shared" si="3"/>
        <v>1700.0416666666667</v>
      </c>
      <c r="W9" s="9">
        <v>735</v>
      </c>
      <c r="X9" s="9">
        <v>15</v>
      </c>
      <c r="Y9" s="9">
        <v>3</v>
      </c>
      <c r="Z9" s="28">
        <f t="shared" si="4"/>
        <v>176583</v>
      </c>
      <c r="AA9" s="1"/>
      <c r="AB9" s="1"/>
      <c r="AC9" s="1"/>
      <c r="AD9" s="9">
        <v>85064</v>
      </c>
      <c r="AE9" s="1"/>
      <c r="AF9" s="1"/>
      <c r="AG9" s="1"/>
      <c r="AH9" s="93"/>
      <c r="AI9" s="93"/>
      <c r="AJ9" s="94"/>
      <c r="AK9" s="93"/>
      <c r="AL9" s="93"/>
      <c r="AM9" s="1"/>
      <c r="AN9" s="1"/>
      <c r="AO9" s="1"/>
      <c r="AP9" s="1"/>
      <c r="AQ9" s="36">
        <f>(Z9+AD9+AH9+AL9)/240</f>
        <v>1090.1958333333334</v>
      </c>
      <c r="AR9" s="1"/>
      <c r="AS9" s="1"/>
      <c r="AT9" s="1"/>
      <c r="AU9" s="1"/>
      <c r="AV9" s="116">
        <f t="shared" si="8"/>
        <v>2790.2375000000002</v>
      </c>
      <c r="AW9" s="1"/>
      <c r="AX9" s="1"/>
      <c r="AY9" s="1"/>
      <c r="AZ9" s="9">
        <f>636+828</f>
        <v>1464</v>
      </c>
      <c r="BA9" s="1"/>
      <c r="BB9" s="1"/>
      <c r="BC9" s="1"/>
      <c r="BD9" s="9" t="s">
        <v>181</v>
      </c>
      <c r="BE9" s="1"/>
      <c r="BF9" s="1"/>
      <c r="BG9" s="1"/>
      <c r="BH9" s="111"/>
      <c r="BI9" s="102">
        <f t="shared" si="9"/>
        <v>2790.2375000000002</v>
      </c>
      <c r="BJ9" s="1"/>
      <c r="BK9" s="1"/>
      <c r="BL9" s="1"/>
      <c r="BM9" s="1"/>
      <c r="BN9" s="1"/>
      <c r="BO9" s="1"/>
      <c r="BP9" s="1"/>
      <c r="BQ9" s="1"/>
      <c r="BR9" s="1"/>
      <c r="BS9" s="1"/>
      <c r="BT9" s="1"/>
      <c r="BU9" s="1"/>
      <c r="BV9" s="93"/>
      <c r="BW9" s="28">
        <f t="shared" si="7"/>
        <v>2790.2375000000002</v>
      </c>
      <c r="BX9" s="128">
        <f>BW9/'RPI_1880-2010'!B8*100</f>
        <v>237063.50892098557</v>
      </c>
      <c r="BY9" s="9" t="s">
        <v>183</v>
      </c>
    </row>
    <row r="10" spans="1:77" s="9" customFormat="1" x14ac:dyDescent="0.25">
      <c r="A10" s="83">
        <v>1887</v>
      </c>
      <c r="B10" s="1"/>
      <c r="C10" s="1"/>
      <c r="D10" s="1"/>
      <c r="E10" s="28">
        <f>71633+2451+44654</f>
        <v>118738</v>
      </c>
      <c r="F10" s="1"/>
      <c r="G10" s="1"/>
      <c r="H10" s="1"/>
      <c r="I10" s="108">
        <f>57881+8032+24100</f>
        <v>90013</v>
      </c>
      <c r="J10" s="103">
        <v>941</v>
      </c>
      <c r="K10" s="103">
        <v>12</v>
      </c>
      <c r="L10" s="103">
        <v>2</v>
      </c>
      <c r="M10" s="105">
        <f t="shared" si="1"/>
        <v>225986</v>
      </c>
      <c r="N10" s="103">
        <v>50</v>
      </c>
      <c r="O10" s="103">
        <v>15</v>
      </c>
      <c r="P10" s="103">
        <v>6</v>
      </c>
      <c r="Q10" s="105">
        <f t="shared" si="2"/>
        <v>12186</v>
      </c>
      <c r="R10" s="93"/>
      <c r="S10" s="1"/>
      <c r="T10" s="1"/>
      <c r="U10" s="93"/>
      <c r="V10" s="24">
        <f t="shared" si="3"/>
        <v>1871.5791666666667</v>
      </c>
      <c r="W10">
        <v>498</v>
      </c>
      <c r="X10">
        <v>18</v>
      </c>
      <c r="Y10">
        <v>7</v>
      </c>
      <c r="Z10" s="28">
        <f t="shared" si="4"/>
        <v>119743</v>
      </c>
      <c r="AA10" s="1"/>
      <c r="AB10" s="1"/>
      <c r="AC10" s="1"/>
      <c r="AD10">
        <v>14090</v>
      </c>
      <c r="AE10" s="1"/>
      <c r="AF10" s="1"/>
      <c r="AG10" s="1"/>
      <c r="AH10" s="93"/>
      <c r="AI10" s="93"/>
      <c r="AJ10" s="94"/>
      <c r="AK10" s="93"/>
      <c r="AL10" s="93"/>
      <c r="AM10" s="1"/>
      <c r="AN10" s="1"/>
      <c r="AO10" s="1"/>
      <c r="AP10" s="1"/>
      <c r="AQ10" s="36">
        <f t="shared" ref="AQ10:AQ42" si="10">(Z10+AD10+AH10+AL10+BD10)/240</f>
        <v>583.51250000000005</v>
      </c>
      <c r="AR10" s="1"/>
      <c r="AS10" s="1"/>
      <c r="AT10" s="1"/>
      <c r="AU10" s="1"/>
      <c r="AV10" s="116">
        <f t="shared" si="8"/>
        <v>2419.8166666666666</v>
      </c>
      <c r="AW10" s="1"/>
      <c r="AX10" s="1"/>
      <c r="AY10" s="1"/>
      <c r="AZ10" s="9">
        <v>2256</v>
      </c>
      <c r="BA10" s="1"/>
      <c r="BB10" s="1"/>
      <c r="BC10" s="1"/>
      <c r="BD10">
        <v>6210</v>
      </c>
      <c r="BE10" s="1"/>
      <c r="BF10" s="1"/>
      <c r="BG10" s="1"/>
      <c r="BH10" s="111">
        <f t="shared" si="6"/>
        <v>35.274999999999999</v>
      </c>
      <c r="BI10" s="102">
        <f t="shared" si="9"/>
        <v>2455.0916666666667</v>
      </c>
      <c r="BJ10" s="1"/>
      <c r="BK10" s="1"/>
      <c r="BL10" s="1"/>
      <c r="BM10" s="1"/>
      <c r="BN10" s="1"/>
      <c r="BO10" s="1"/>
      <c r="BP10" s="1"/>
      <c r="BQ10" s="1"/>
      <c r="BR10" s="1"/>
      <c r="BS10" s="1"/>
      <c r="BT10" s="1"/>
      <c r="BU10" s="1"/>
      <c r="BV10" s="93"/>
      <c r="BW10" s="28">
        <f t="shared" si="7"/>
        <v>2455.0916666666667</v>
      </c>
      <c r="BX10" s="128">
        <f>BW10/'RPI_1880-2010'!B9*100</f>
        <v>212930.76033535704</v>
      </c>
      <c r="BY10" s="9" t="s">
        <v>183</v>
      </c>
    </row>
    <row r="11" spans="1:77" s="9" customFormat="1" x14ac:dyDescent="0.25">
      <c r="A11" s="83">
        <v>1888</v>
      </c>
      <c r="B11" s="1"/>
      <c r="C11" s="1"/>
      <c r="D11" s="1"/>
      <c r="E11" s="28">
        <f>38192+61827</f>
        <v>100019</v>
      </c>
      <c r="F11" s="1"/>
      <c r="G11" s="1"/>
      <c r="H11" s="1"/>
      <c r="I11" s="108">
        <f>8031+24097</f>
        <v>32128</v>
      </c>
      <c r="J11" s="103">
        <v>1027</v>
      </c>
      <c r="K11" s="103">
        <v>15</v>
      </c>
      <c r="L11" s="103">
        <v>10</v>
      </c>
      <c r="M11" s="105">
        <f t="shared" si="1"/>
        <v>246670</v>
      </c>
      <c r="N11" s="103">
        <v>50</v>
      </c>
      <c r="O11" s="103">
        <v>17</v>
      </c>
      <c r="P11" s="103">
        <v>1</v>
      </c>
      <c r="Q11" s="105">
        <f t="shared" si="2"/>
        <v>12205</v>
      </c>
      <c r="R11" s="93"/>
      <c r="S11" s="1"/>
      <c r="T11" s="1"/>
      <c r="U11" s="93"/>
      <c r="V11" s="24">
        <f t="shared" si="3"/>
        <v>1632.9333333333334</v>
      </c>
      <c r="W11">
        <v>539</v>
      </c>
      <c r="X11">
        <v>10</v>
      </c>
      <c r="Y11">
        <v>5</v>
      </c>
      <c r="Z11" s="28">
        <f t="shared" si="4"/>
        <v>129485</v>
      </c>
      <c r="AA11" s="1"/>
      <c r="AB11" s="1"/>
      <c r="AC11" s="1"/>
      <c r="AD11">
        <v>50894</v>
      </c>
      <c r="AE11" s="1"/>
      <c r="AF11" s="1"/>
      <c r="AG11" s="1"/>
      <c r="AH11" s="93"/>
      <c r="AI11" s="93"/>
      <c r="AJ11" s="94"/>
      <c r="AK11" s="93"/>
      <c r="AL11" s="93"/>
      <c r="AM11" s="1"/>
      <c r="AN11" s="1"/>
      <c r="AO11" s="1"/>
      <c r="AP11" s="1"/>
      <c r="AQ11" s="36">
        <f t="shared" si="10"/>
        <v>764.67499999999995</v>
      </c>
      <c r="AR11" s="1"/>
      <c r="AS11" s="1"/>
      <c r="AT11" s="1"/>
      <c r="AU11" s="1"/>
      <c r="AV11" s="116">
        <f t="shared" si="8"/>
        <v>2380.8375000000001</v>
      </c>
      <c r="AW11" s="1"/>
      <c r="AX11" s="1"/>
      <c r="AY11" s="1"/>
      <c r="AZ11" s="9">
        <v>882</v>
      </c>
      <c r="BA11" s="1"/>
      <c r="BB11" s="1"/>
      <c r="BC11" s="1"/>
      <c r="BD11">
        <v>3143</v>
      </c>
      <c r="BE11" s="1"/>
      <c r="BF11" s="1"/>
      <c r="BG11" s="1"/>
      <c r="BH11" s="111">
        <f t="shared" si="6"/>
        <v>16.770833333333332</v>
      </c>
      <c r="BI11" s="102">
        <f t="shared" si="9"/>
        <v>2397.6083333333336</v>
      </c>
      <c r="BJ11" s="1"/>
      <c r="BK11" s="1"/>
      <c r="BL11" s="1"/>
      <c r="BM11" s="1"/>
      <c r="BN11" s="1"/>
      <c r="BO11" s="1"/>
      <c r="BP11" s="1"/>
      <c r="BQ11" s="1"/>
      <c r="BR11" s="1"/>
      <c r="BS11" s="1"/>
      <c r="BT11" s="1"/>
      <c r="BU11" s="1"/>
      <c r="BV11" s="93"/>
      <c r="BW11" s="28">
        <f t="shared" si="7"/>
        <v>2397.6083333333336</v>
      </c>
      <c r="BX11" s="128">
        <f>BW11/'RPI_1880-2010'!B10*100</f>
        <v>208306.54503330437</v>
      </c>
      <c r="BY11" s="9" t="s">
        <v>183</v>
      </c>
    </row>
    <row r="12" spans="1:77" s="9" customFormat="1" x14ac:dyDescent="0.25">
      <c r="A12" s="83">
        <v>1889</v>
      </c>
      <c r="B12" s="1"/>
      <c r="C12" s="1"/>
      <c r="D12" s="1"/>
      <c r="E12" s="28">
        <f>39478+36926</f>
        <v>76404</v>
      </c>
      <c r="F12" s="1"/>
      <c r="G12" s="1"/>
      <c r="H12" s="1"/>
      <c r="I12" s="108">
        <f>24102+24099</f>
        <v>48201</v>
      </c>
      <c r="J12" s="103">
        <v>687</v>
      </c>
      <c r="K12" s="103">
        <v>0</v>
      </c>
      <c r="L12" s="103">
        <v>10</v>
      </c>
      <c r="M12" s="105">
        <f t="shared" si="1"/>
        <v>164890</v>
      </c>
      <c r="N12" s="103">
        <v>43</v>
      </c>
      <c r="O12" s="103">
        <v>2</v>
      </c>
      <c r="P12" s="103">
        <v>0</v>
      </c>
      <c r="Q12" s="105">
        <f t="shared" si="2"/>
        <v>10344</v>
      </c>
      <c r="R12" s="93"/>
      <c r="S12" s="1"/>
      <c r="T12" s="1"/>
      <c r="U12" s="93"/>
      <c r="V12" s="24">
        <f t="shared" si="3"/>
        <v>1253.7666666666667</v>
      </c>
      <c r="W12">
        <v>432</v>
      </c>
      <c r="X12">
        <v>6</v>
      </c>
      <c r="Y12">
        <v>4</v>
      </c>
      <c r="Z12" s="28">
        <f t="shared" si="4"/>
        <v>103756</v>
      </c>
      <c r="AA12" s="1"/>
      <c r="AB12" s="1"/>
      <c r="AC12" s="1"/>
      <c r="AD12">
        <v>27540</v>
      </c>
      <c r="AE12" s="1"/>
      <c r="AF12" s="1"/>
      <c r="AG12" s="1"/>
      <c r="AH12" s="93"/>
      <c r="AI12" s="93"/>
      <c r="AJ12" s="94"/>
      <c r="AK12" s="93"/>
      <c r="AL12" s="93"/>
      <c r="AM12" s="1"/>
      <c r="AN12" s="1"/>
      <c r="AO12" s="1"/>
      <c r="AP12" s="1"/>
      <c r="AQ12" s="36">
        <f>(Z12+AD12+AH12+AL12)/240</f>
        <v>547.06666666666672</v>
      </c>
      <c r="AR12" s="1"/>
      <c r="AS12" s="1"/>
      <c r="AT12" s="1"/>
      <c r="AU12" s="1"/>
      <c r="AV12" s="116">
        <f t="shared" si="8"/>
        <v>1800.8333333333335</v>
      </c>
      <c r="AW12" s="1"/>
      <c r="AX12" s="1"/>
      <c r="AY12" s="1"/>
      <c r="AZ12" s="9">
        <v>1065</v>
      </c>
      <c r="BA12" s="1"/>
      <c r="BB12" s="1"/>
      <c r="BC12" s="1"/>
      <c r="BD12" s="9" t="s">
        <v>181</v>
      </c>
      <c r="BE12" s="1"/>
      <c r="BF12" s="1"/>
      <c r="BG12" s="1"/>
      <c r="BH12" s="111"/>
      <c r="BI12" s="102">
        <f t="shared" si="9"/>
        <v>1800.8333333333335</v>
      </c>
      <c r="BJ12" s="1"/>
      <c r="BK12" s="1"/>
      <c r="BL12" s="1"/>
      <c r="BM12" s="1"/>
      <c r="BN12" s="1"/>
      <c r="BO12" s="1"/>
      <c r="BP12" s="1"/>
      <c r="BQ12" s="1"/>
      <c r="BR12" s="1"/>
      <c r="BS12" s="1"/>
      <c r="BT12" s="1"/>
      <c r="BU12" s="1"/>
      <c r="BV12" s="93"/>
      <c r="BW12" s="28">
        <f t="shared" si="7"/>
        <v>1800.8333333333335</v>
      </c>
      <c r="BX12" s="128">
        <f>BW12/'RPI_1880-2010'!B11*100</f>
        <v>155244.25287356324</v>
      </c>
      <c r="BY12" s="9" t="s">
        <v>183</v>
      </c>
    </row>
    <row r="13" spans="1:77" s="9" customFormat="1" x14ac:dyDescent="0.25">
      <c r="A13" s="83">
        <v>1890</v>
      </c>
      <c r="B13" s="1"/>
      <c r="C13" s="1"/>
      <c r="D13" s="1"/>
      <c r="E13" s="28">
        <f>81048</f>
        <v>81048</v>
      </c>
      <c r="F13" s="1"/>
      <c r="G13" s="1"/>
      <c r="H13" s="1"/>
      <c r="I13" s="108">
        <f>16065+8032</f>
        <v>24097</v>
      </c>
      <c r="J13" s="103">
        <v>682</v>
      </c>
      <c r="K13" s="103">
        <v>14</v>
      </c>
      <c r="L13" s="103">
        <v>1</v>
      </c>
      <c r="M13" s="105">
        <f t="shared" si="1"/>
        <v>163849</v>
      </c>
      <c r="N13" s="103">
        <v>43</v>
      </c>
      <c r="O13" s="103">
        <v>14</v>
      </c>
      <c r="P13" s="103">
        <v>0</v>
      </c>
      <c r="Q13" s="105">
        <f t="shared" si="2"/>
        <v>10488</v>
      </c>
      <c r="R13" s="93"/>
      <c r="S13" s="1"/>
      <c r="T13" s="1"/>
      <c r="U13" s="93"/>
      <c r="V13" s="24">
        <f t="shared" si="3"/>
        <v>1169.1958333333334</v>
      </c>
      <c r="W13">
        <v>826</v>
      </c>
      <c r="X13">
        <v>13</v>
      </c>
      <c r="Y13">
        <v>3</v>
      </c>
      <c r="Z13" s="28">
        <f t="shared" si="4"/>
        <v>198399</v>
      </c>
      <c r="AA13" s="1"/>
      <c r="AB13" s="1"/>
      <c r="AC13" s="1"/>
      <c r="AD13">
        <v>34428</v>
      </c>
      <c r="AE13" s="1"/>
      <c r="AF13" s="1"/>
      <c r="AG13" s="1"/>
      <c r="AH13" s="93"/>
      <c r="AI13" s="93"/>
      <c r="AJ13" s="94"/>
      <c r="AK13" s="93"/>
      <c r="AL13" s="93"/>
      <c r="AM13" s="1"/>
      <c r="AN13" s="1"/>
      <c r="AO13" s="1"/>
      <c r="AP13" s="1"/>
      <c r="AQ13" s="36">
        <f t="shared" ref="AQ13:AQ14" si="11">(Z13+AD13+AH13+AL13)/240</f>
        <v>970.11249999999995</v>
      </c>
      <c r="AR13" s="1"/>
      <c r="AS13" s="1"/>
      <c r="AT13" s="1"/>
      <c r="AU13" s="1"/>
      <c r="AV13" s="116">
        <f t="shared" si="8"/>
        <v>2139.3083333333334</v>
      </c>
      <c r="AW13" s="1"/>
      <c r="AX13" s="1"/>
      <c r="AY13" s="1"/>
      <c r="AZ13" s="9">
        <v>1125</v>
      </c>
      <c r="BA13" s="1"/>
      <c r="BB13" s="1"/>
      <c r="BC13" s="1"/>
      <c r="BD13" s="9" t="s">
        <v>181</v>
      </c>
      <c r="BE13" s="1"/>
      <c r="BF13" s="1"/>
      <c r="BG13" s="1"/>
      <c r="BH13" s="111"/>
      <c r="BI13" s="102">
        <f t="shared" si="9"/>
        <v>2139.3083333333334</v>
      </c>
      <c r="BJ13" s="1"/>
      <c r="BK13" s="1"/>
      <c r="BL13" s="1"/>
      <c r="BM13" s="1"/>
      <c r="BN13" s="1"/>
      <c r="BO13" s="1"/>
      <c r="BP13" s="1"/>
      <c r="BQ13" s="1"/>
      <c r="BR13" s="1"/>
      <c r="BS13" s="1"/>
      <c r="BT13" s="1"/>
      <c r="BU13" s="1"/>
      <c r="BV13" s="93"/>
      <c r="BW13" s="28">
        <f t="shared" si="7"/>
        <v>2139.3083333333334</v>
      </c>
      <c r="BX13" s="128">
        <f>BW13/'RPI_1880-2010'!B12*100</f>
        <v>183631.61659513591</v>
      </c>
      <c r="BY13" s="9" t="s">
        <v>183</v>
      </c>
    </row>
    <row r="14" spans="1:77" s="9" customFormat="1" x14ac:dyDescent="0.25">
      <c r="A14" s="83">
        <v>1891</v>
      </c>
      <c r="B14" s="1"/>
      <c r="C14" s="1"/>
      <c r="D14" s="1"/>
      <c r="E14" s="28">
        <f>53604+68745</f>
        <v>122349</v>
      </c>
      <c r="F14" s="1"/>
      <c r="G14" s="1"/>
      <c r="H14" s="1"/>
      <c r="I14" s="108">
        <f>24098+16065+24099</f>
        <v>64262</v>
      </c>
      <c r="J14" s="103">
        <v>903</v>
      </c>
      <c r="K14" s="103">
        <v>13</v>
      </c>
      <c r="L14" s="103">
        <v>7</v>
      </c>
      <c r="M14" s="105">
        <f t="shared" si="1"/>
        <v>216883</v>
      </c>
      <c r="N14" s="103">
        <v>44</v>
      </c>
      <c r="O14" s="103">
        <v>9</v>
      </c>
      <c r="P14" s="103">
        <v>0</v>
      </c>
      <c r="Q14" s="105">
        <f t="shared" si="2"/>
        <v>10668</v>
      </c>
      <c r="R14" s="93"/>
      <c r="S14" s="1"/>
      <c r="T14" s="1"/>
      <c r="U14" s="93"/>
      <c r="V14" s="24">
        <f t="shared" si="3"/>
        <v>1731.2249999999999</v>
      </c>
      <c r="W14">
        <v>460</v>
      </c>
      <c r="X14">
        <v>4</v>
      </c>
      <c r="Y14">
        <v>3</v>
      </c>
      <c r="Z14" s="28">
        <f t="shared" si="4"/>
        <v>110451</v>
      </c>
      <c r="AA14" s="1"/>
      <c r="AB14" s="1"/>
      <c r="AC14" s="1"/>
      <c r="AD14">
        <v>27549</v>
      </c>
      <c r="AE14" s="1"/>
      <c r="AF14" s="1"/>
      <c r="AG14" s="1"/>
      <c r="AH14" s="93"/>
      <c r="AI14" s="93"/>
      <c r="AJ14" s="94"/>
      <c r="AK14" s="93"/>
      <c r="AL14" s="93"/>
      <c r="AM14" s="1"/>
      <c r="AN14" s="1"/>
      <c r="AO14" s="1"/>
      <c r="AP14" s="1"/>
      <c r="AQ14" s="36">
        <f t="shared" si="11"/>
        <v>575</v>
      </c>
      <c r="AR14" s="1"/>
      <c r="AS14" s="1"/>
      <c r="AT14" s="1"/>
      <c r="AU14" s="1"/>
      <c r="AV14" s="116">
        <f t="shared" si="8"/>
        <v>2306.2249999999999</v>
      </c>
      <c r="AW14" s="1"/>
      <c r="AX14" s="1"/>
      <c r="AY14" s="1"/>
      <c r="AZ14" s="9">
        <v>1332</v>
      </c>
      <c r="BA14" s="1"/>
      <c r="BB14" s="1"/>
      <c r="BC14" s="1"/>
      <c r="BD14" s="9" t="s">
        <v>181</v>
      </c>
      <c r="BE14" s="1"/>
      <c r="BF14" s="1"/>
      <c r="BG14" s="1"/>
      <c r="BH14" s="111"/>
      <c r="BI14" s="102">
        <f t="shared" si="9"/>
        <v>2306.2249999999999</v>
      </c>
      <c r="BJ14" s="1"/>
      <c r="BK14" s="1"/>
      <c r="BL14" s="1"/>
      <c r="BM14" s="1"/>
      <c r="BN14" s="1"/>
      <c r="BO14" s="1"/>
      <c r="BP14" s="1"/>
      <c r="BQ14" s="1"/>
      <c r="BR14" s="1"/>
      <c r="BS14" s="1"/>
      <c r="BT14" s="1"/>
      <c r="BU14" s="1"/>
      <c r="BV14" s="93"/>
      <c r="BW14" s="28">
        <f t="shared" si="7"/>
        <v>2306.2249999999999</v>
      </c>
      <c r="BX14" s="128">
        <f>BW14/'RPI_1880-2010'!B13*100</f>
        <v>196441.6524701874</v>
      </c>
      <c r="BY14" s="9" t="s">
        <v>183</v>
      </c>
    </row>
    <row r="15" spans="1:77" s="9" customFormat="1" x14ac:dyDescent="0.25">
      <c r="A15" s="83">
        <v>1892</v>
      </c>
      <c r="B15" s="1"/>
      <c r="C15" s="1"/>
      <c r="D15" s="1"/>
      <c r="E15" s="28">
        <f>123393</f>
        <v>123393</v>
      </c>
      <c r="F15" s="1"/>
      <c r="G15" s="1"/>
      <c r="H15" s="1"/>
      <c r="I15" s="108">
        <f>24099+24099+24102</f>
        <v>72300</v>
      </c>
      <c r="J15" s="103">
        <v>780</v>
      </c>
      <c r="K15" s="103">
        <v>0</v>
      </c>
      <c r="L15" s="103">
        <v>3</v>
      </c>
      <c r="M15" s="105">
        <f t="shared" si="1"/>
        <v>187203</v>
      </c>
      <c r="N15" s="103">
        <v>45</v>
      </c>
      <c r="O15" s="103">
        <v>6</v>
      </c>
      <c r="P15" s="103">
        <v>2</v>
      </c>
      <c r="Q15" s="105">
        <f t="shared" si="2"/>
        <v>10874</v>
      </c>
      <c r="R15" s="93"/>
      <c r="S15" s="1"/>
      <c r="T15" s="1"/>
      <c r="U15" s="93"/>
      <c r="V15" s="24">
        <f t="shared" si="3"/>
        <v>1692.2874999999999</v>
      </c>
      <c r="W15">
        <v>570</v>
      </c>
      <c r="X15">
        <v>16</v>
      </c>
      <c r="Y15">
        <v>9</v>
      </c>
      <c r="Z15" s="28">
        <f t="shared" si="4"/>
        <v>137001</v>
      </c>
      <c r="AA15" s="1"/>
      <c r="AB15" s="1"/>
      <c r="AC15" s="1"/>
      <c r="AD15">
        <v>28092</v>
      </c>
      <c r="AE15" s="1"/>
      <c r="AF15" s="1"/>
      <c r="AG15" s="1"/>
      <c r="AH15" s="93"/>
      <c r="AI15" s="93"/>
      <c r="AJ15" s="94"/>
      <c r="AK15" s="93"/>
      <c r="AL15" s="93"/>
      <c r="AM15" s="1"/>
      <c r="AN15" s="1"/>
      <c r="AO15" s="1"/>
      <c r="AP15" s="1"/>
      <c r="AQ15" s="36">
        <f t="shared" si="10"/>
        <v>706.33333333333337</v>
      </c>
      <c r="AR15" s="1"/>
      <c r="AS15" s="1"/>
      <c r="AT15" s="1"/>
      <c r="AU15" s="1"/>
      <c r="AV15" s="116">
        <f t="shared" si="8"/>
        <v>2328.5958333333333</v>
      </c>
      <c r="AW15" s="1"/>
      <c r="AX15" s="1"/>
      <c r="AY15" s="1"/>
      <c r="AZ15" s="9">
        <f>1422+1357+2400+2400+2400+2400</f>
        <v>12379</v>
      </c>
      <c r="BA15" s="1"/>
      <c r="BB15" s="1"/>
      <c r="BC15" s="1"/>
      <c r="BD15">
        <v>4427</v>
      </c>
      <c r="BE15" s="1"/>
      <c r="BF15" s="1"/>
      <c r="BG15" s="1"/>
      <c r="BH15" s="111">
        <f t="shared" si="6"/>
        <v>70.025000000000006</v>
      </c>
      <c r="BI15" s="102">
        <f t="shared" si="9"/>
        <v>2398.6208333333334</v>
      </c>
      <c r="BJ15" s="1"/>
      <c r="BK15" s="1"/>
      <c r="BL15" s="1"/>
      <c r="BM15" s="1"/>
      <c r="BN15" s="1"/>
      <c r="BO15" s="1"/>
      <c r="BP15" s="1"/>
      <c r="BQ15" s="1"/>
      <c r="BR15" s="1"/>
      <c r="BS15" s="1"/>
      <c r="BT15" s="1"/>
      <c r="BU15" s="1"/>
      <c r="BV15" s="93"/>
      <c r="BW15" s="28">
        <f t="shared" si="7"/>
        <v>2398.6208333333334</v>
      </c>
      <c r="BX15" s="128">
        <f>BW15/'RPI_1880-2010'!B14*100</f>
        <v>203445.36330223351</v>
      </c>
      <c r="BY15" s="9" t="s">
        <v>183</v>
      </c>
    </row>
    <row r="16" spans="1:77" s="9" customFormat="1" x14ac:dyDescent="0.25">
      <c r="A16" s="83">
        <v>1893</v>
      </c>
      <c r="B16" s="1"/>
      <c r="C16" s="1"/>
      <c r="D16" s="1"/>
      <c r="E16" s="28">
        <f>88849+95012</f>
        <v>183861</v>
      </c>
      <c r="F16" s="1"/>
      <c r="G16" s="1"/>
      <c r="H16" s="1"/>
      <c r="I16" s="108">
        <f>40162+24098+16065+40164+32130</f>
        <v>152619</v>
      </c>
      <c r="J16" s="103">
        <v>977</v>
      </c>
      <c r="K16" s="103">
        <v>0</v>
      </c>
      <c r="L16" s="103">
        <v>11</v>
      </c>
      <c r="M16" s="105">
        <f t="shared" si="1"/>
        <v>234491</v>
      </c>
      <c r="N16" s="103">
        <v>44</v>
      </c>
      <c r="O16" s="103">
        <v>11</v>
      </c>
      <c r="P16" s="103">
        <v>6</v>
      </c>
      <c r="Q16" s="105">
        <f t="shared" si="2"/>
        <v>10698</v>
      </c>
      <c r="R16" s="93"/>
      <c r="S16" s="1"/>
      <c r="T16" s="1"/>
      <c r="U16" s="93"/>
      <c r="V16" s="24">
        <f t="shared" si="3"/>
        <v>2525.6958333333332</v>
      </c>
      <c r="W16">
        <v>610</v>
      </c>
      <c r="X16">
        <v>14</v>
      </c>
      <c r="Y16">
        <v>6</v>
      </c>
      <c r="Z16" s="28">
        <f t="shared" si="4"/>
        <v>146574</v>
      </c>
      <c r="AA16" s="1"/>
      <c r="AB16" s="1"/>
      <c r="AC16" s="1"/>
      <c r="AD16">
        <v>34424</v>
      </c>
      <c r="AE16" s="1"/>
      <c r="AF16" s="1"/>
      <c r="AG16" s="1"/>
      <c r="AH16" s="93"/>
      <c r="AI16" s="93"/>
      <c r="AJ16" s="94"/>
      <c r="AK16" s="93"/>
      <c r="AL16" s="93"/>
      <c r="AM16" s="1"/>
      <c r="AN16" s="1"/>
      <c r="AO16" s="1"/>
      <c r="AP16" s="1"/>
      <c r="AQ16" s="36">
        <f t="shared" si="10"/>
        <v>817.66250000000002</v>
      </c>
      <c r="AR16" s="1"/>
      <c r="AS16" s="1"/>
      <c r="AT16" s="1"/>
      <c r="AU16" s="1"/>
      <c r="AV16" s="116">
        <f t="shared" si="8"/>
        <v>3177.7791666666662</v>
      </c>
      <c r="AW16" s="1"/>
      <c r="AX16" s="1"/>
      <c r="AY16" s="1"/>
      <c r="AZ16" s="9">
        <f>1482+1416+349+2051+2400+2400+2400+2400+2400+2400+2400+2400</f>
        <v>24498</v>
      </c>
      <c r="BA16" s="1"/>
      <c r="BB16" s="1"/>
      <c r="BC16" s="1"/>
      <c r="BD16">
        <v>15241</v>
      </c>
      <c r="BE16" s="1"/>
      <c r="BF16" s="1"/>
      <c r="BG16" s="1"/>
      <c r="BH16" s="111">
        <f t="shared" si="6"/>
        <v>165.57916666666668</v>
      </c>
      <c r="BI16" s="102">
        <f t="shared" si="9"/>
        <v>3343.3583333333331</v>
      </c>
      <c r="BJ16" s="1"/>
      <c r="BK16" s="1"/>
      <c r="BL16" s="1"/>
      <c r="BM16" s="1"/>
      <c r="BN16" s="1"/>
      <c r="BO16" s="1"/>
      <c r="BP16" s="1"/>
      <c r="BQ16" s="1"/>
      <c r="BR16" s="1"/>
      <c r="BS16" s="1"/>
      <c r="BT16" s="1"/>
      <c r="BU16" s="1"/>
      <c r="BV16" s="93"/>
      <c r="BW16" s="28">
        <f t="shared" si="7"/>
        <v>3343.3583333333331</v>
      </c>
      <c r="BX16" s="128">
        <f>BW16/'RPI_1880-2010'!B15*100</f>
        <v>289217.84890426759</v>
      </c>
      <c r="BY16" s="9" t="s">
        <v>183</v>
      </c>
    </row>
    <row r="17" spans="1:77" s="9" customFormat="1" x14ac:dyDescent="0.25">
      <c r="A17" s="83">
        <v>1894</v>
      </c>
      <c r="B17" s="1"/>
      <c r="C17" s="1"/>
      <c r="D17" s="1"/>
      <c r="E17" s="28">
        <f>36841+61824+21335+30529+29940+56284+47882</f>
        <v>284635</v>
      </c>
      <c r="F17" s="1"/>
      <c r="G17" s="1"/>
      <c r="H17" s="1"/>
      <c r="I17" s="108">
        <f>32132+32130+16065+24098+24098+24098</f>
        <v>152621</v>
      </c>
      <c r="J17" s="103">
        <v>1515</v>
      </c>
      <c r="K17" s="103">
        <v>19</v>
      </c>
      <c r="L17" s="103">
        <v>6</v>
      </c>
      <c r="M17" s="105">
        <f t="shared" si="1"/>
        <v>363834</v>
      </c>
      <c r="N17" s="103">
        <v>89</v>
      </c>
      <c r="O17" s="103">
        <v>2</v>
      </c>
      <c r="P17" s="103">
        <v>0</v>
      </c>
      <c r="Q17" s="105">
        <f t="shared" si="2"/>
        <v>21384</v>
      </c>
      <c r="R17" s="93"/>
      <c r="S17" s="1"/>
      <c r="T17" s="1"/>
      <c r="U17" s="93"/>
      <c r="V17" s="24">
        <f t="shared" si="3"/>
        <v>3499.5916666666667</v>
      </c>
      <c r="W17">
        <v>538</v>
      </c>
      <c r="X17">
        <v>10</v>
      </c>
      <c r="Y17">
        <v>11</v>
      </c>
      <c r="Z17" s="28">
        <f t="shared" si="4"/>
        <v>129251</v>
      </c>
      <c r="AA17" s="1"/>
      <c r="AB17" s="1"/>
      <c r="AC17" s="1"/>
      <c r="AD17">
        <v>34425</v>
      </c>
      <c r="AE17" s="1"/>
      <c r="AF17" s="1"/>
      <c r="AG17" s="1"/>
      <c r="AH17" s="93"/>
      <c r="AI17" s="93"/>
      <c r="AJ17" s="94"/>
      <c r="AK17" s="93"/>
      <c r="AL17" s="93"/>
      <c r="AM17" s="1"/>
      <c r="AN17" s="1"/>
      <c r="AO17" s="1"/>
      <c r="AP17" s="1"/>
      <c r="AQ17" s="36">
        <f t="shared" si="10"/>
        <v>764.9666666666667</v>
      </c>
      <c r="AR17" s="1"/>
      <c r="AS17" s="1"/>
      <c r="AT17" s="1"/>
      <c r="AU17" s="1"/>
      <c r="AV17" s="116">
        <f t="shared" si="8"/>
        <v>4108.958333333333</v>
      </c>
      <c r="AW17" s="1"/>
      <c r="AX17" s="1"/>
      <c r="AY17" s="1"/>
      <c r="AZ17" s="9">
        <f>1380+636+1012+2400+2400+2400+2400+4800</f>
        <v>17428</v>
      </c>
      <c r="BA17" s="1"/>
      <c r="BB17" s="1"/>
      <c r="BC17" s="1"/>
      <c r="BD17">
        <v>19916</v>
      </c>
      <c r="BE17" s="1"/>
      <c r="BF17" s="1"/>
      <c r="BG17" s="1"/>
      <c r="BH17" s="111">
        <f t="shared" si="6"/>
        <v>155.6</v>
      </c>
      <c r="BI17" s="102">
        <f t="shared" si="9"/>
        <v>4264.5583333333334</v>
      </c>
      <c r="BJ17" s="1"/>
      <c r="BK17" s="1"/>
      <c r="BL17" s="1"/>
      <c r="BM17" s="1"/>
      <c r="BN17" s="1"/>
      <c r="BO17" s="1"/>
      <c r="BP17" s="1"/>
      <c r="BQ17" s="1"/>
      <c r="BR17" s="1"/>
      <c r="BS17" s="1"/>
      <c r="BT17" s="1"/>
      <c r="BU17" s="1"/>
      <c r="BV17" s="93"/>
      <c r="BW17" s="28">
        <f t="shared" si="7"/>
        <v>4264.5583333333334</v>
      </c>
      <c r="BX17" s="128">
        <f>BW17/'RPI_1880-2010'!B16*100</f>
        <v>378735.1983422144</v>
      </c>
      <c r="BY17" s="9" t="s">
        <v>183</v>
      </c>
    </row>
    <row r="18" spans="1:77" s="9" customFormat="1" x14ac:dyDescent="0.25">
      <c r="A18" s="83">
        <v>1895</v>
      </c>
      <c r="B18" s="1"/>
      <c r="C18" s="1"/>
      <c r="D18" s="1"/>
      <c r="E18" s="28">
        <f>31548+30404</f>
        <v>61952</v>
      </c>
      <c r="F18" s="1"/>
      <c r="G18" s="1"/>
      <c r="H18" s="1"/>
      <c r="I18" s="108">
        <f>24098</f>
        <v>24098</v>
      </c>
      <c r="J18" s="103">
        <v>639</v>
      </c>
      <c r="K18" s="103">
        <v>2</v>
      </c>
      <c r="L18" s="103">
        <v>10</v>
      </c>
      <c r="M18" s="105">
        <f t="shared" si="1"/>
        <v>153394</v>
      </c>
      <c r="N18" s="103">
        <v>115</v>
      </c>
      <c r="O18" s="103">
        <v>13</v>
      </c>
      <c r="P18" s="103">
        <v>6</v>
      </c>
      <c r="Q18" s="105">
        <f t="shared" si="2"/>
        <v>27762</v>
      </c>
      <c r="R18" s="93"/>
      <c r="S18" s="1"/>
      <c r="T18" s="1"/>
      <c r="U18" s="93"/>
      <c r="V18" s="24">
        <f t="shared" si="3"/>
        <v>1186.4625000000001</v>
      </c>
      <c r="W18">
        <v>606</v>
      </c>
      <c r="X18">
        <v>16</v>
      </c>
      <c r="Y18">
        <v>2</v>
      </c>
      <c r="Z18" s="28">
        <f t="shared" si="4"/>
        <v>145634</v>
      </c>
      <c r="AA18" s="1"/>
      <c r="AB18" s="1"/>
      <c r="AC18" s="1"/>
      <c r="AD18">
        <v>34425</v>
      </c>
      <c r="AE18" s="1"/>
      <c r="AF18" s="1"/>
      <c r="AG18" s="1"/>
      <c r="AH18" s="93"/>
      <c r="AI18" s="93"/>
      <c r="AJ18" s="94"/>
      <c r="AK18" s="93"/>
      <c r="AL18" s="93"/>
      <c r="AM18" s="1"/>
      <c r="AN18" s="1"/>
      <c r="AO18" s="1"/>
      <c r="AP18" s="1"/>
      <c r="AQ18" s="36">
        <f t="shared" si="10"/>
        <v>790.08333333333337</v>
      </c>
      <c r="AR18" s="1"/>
      <c r="AS18" s="1"/>
      <c r="AT18" s="1"/>
      <c r="AU18" s="1"/>
      <c r="AV18" s="116">
        <f t="shared" si="8"/>
        <v>1863.604166666667</v>
      </c>
      <c r="AW18" s="1"/>
      <c r="AX18" s="1"/>
      <c r="AY18" s="1"/>
      <c r="AZ18" s="9">
        <f>528+1045+1200+2400+2400+2400+2400+2772+2400</f>
        <v>17545</v>
      </c>
      <c r="BA18" s="1"/>
      <c r="BB18" s="1"/>
      <c r="BC18" s="1"/>
      <c r="BD18">
        <v>9561</v>
      </c>
      <c r="BE18" s="1"/>
      <c r="BF18" s="1"/>
      <c r="BG18" s="1"/>
      <c r="BH18" s="111">
        <f t="shared" si="6"/>
        <v>112.94166666666666</v>
      </c>
      <c r="BI18" s="102">
        <f t="shared" si="9"/>
        <v>1976.5458333333336</v>
      </c>
      <c r="BJ18" s="1"/>
      <c r="BK18" s="1"/>
      <c r="BL18" s="1"/>
      <c r="BM18" s="1"/>
      <c r="BN18" s="1"/>
      <c r="BO18" s="1"/>
      <c r="BP18" s="1"/>
      <c r="BQ18" s="1"/>
      <c r="BR18" s="1"/>
      <c r="BS18" s="1"/>
      <c r="BT18" s="1"/>
      <c r="BU18" s="1"/>
      <c r="BV18" s="93"/>
      <c r="BW18" s="28">
        <f t="shared" si="7"/>
        <v>1976.5458333333336</v>
      </c>
      <c r="BX18" s="128">
        <f>BW18/'RPI_1880-2010'!B17*100</f>
        <v>178067.19219219219</v>
      </c>
      <c r="BY18" s="9" t="s">
        <v>183</v>
      </c>
    </row>
    <row r="19" spans="1:77" s="9" customFormat="1" x14ac:dyDescent="0.25">
      <c r="A19" s="83">
        <v>1896</v>
      </c>
      <c r="B19" s="1"/>
      <c r="C19" s="1"/>
      <c r="D19" s="1"/>
      <c r="E19" s="28">
        <f>69649+66012+36930</f>
        <v>172591</v>
      </c>
      <c r="F19" s="1"/>
      <c r="G19" s="1"/>
      <c r="H19" s="1"/>
      <c r="I19" s="108">
        <f>24098+16065+24098+8032+16065+8033+16066</f>
        <v>112457</v>
      </c>
      <c r="J19" s="103">
        <v>393</v>
      </c>
      <c r="K19" s="103">
        <v>5</v>
      </c>
      <c r="L19" s="103">
        <v>0</v>
      </c>
      <c r="M19" s="105">
        <f t="shared" si="1"/>
        <v>94380</v>
      </c>
      <c r="N19" s="103">
        <v>55</v>
      </c>
      <c r="O19" s="103">
        <v>7</v>
      </c>
      <c r="P19" s="103">
        <v>0</v>
      </c>
      <c r="Q19" s="105">
        <f t="shared" si="2"/>
        <v>13284</v>
      </c>
      <c r="R19" s="93"/>
      <c r="S19" s="1"/>
      <c r="T19" s="1"/>
      <c r="U19" s="93"/>
      <c r="V19" s="24">
        <f t="shared" si="3"/>
        <v>1701.45</v>
      </c>
      <c r="W19">
        <v>337</v>
      </c>
      <c r="X19">
        <v>2</v>
      </c>
      <c r="Y19">
        <v>6</v>
      </c>
      <c r="Z19" s="28">
        <f t="shared" si="4"/>
        <v>80910</v>
      </c>
      <c r="AA19" s="1"/>
      <c r="AB19" s="1"/>
      <c r="AC19" s="1"/>
      <c r="AD19">
        <v>55080</v>
      </c>
      <c r="AE19" s="1"/>
      <c r="AF19" s="1"/>
      <c r="AG19" s="1"/>
      <c r="AH19" s="93"/>
      <c r="AI19" s="93"/>
      <c r="AJ19" s="94"/>
      <c r="AK19" s="93"/>
      <c r="AL19" s="93"/>
      <c r="AM19" s="1"/>
      <c r="AN19" s="1"/>
      <c r="AO19" s="1"/>
      <c r="AP19" s="1"/>
      <c r="AQ19" s="36">
        <f t="shared" si="10"/>
        <v>606.9</v>
      </c>
      <c r="AR19" s="1"/>
      <c r="AS19" s="1"/>
      <c r="AT19" s="1"/>
      <c r="AU19" s="1"/>
      <c r="AV19" s="116">
        <f t="shared" si="8"/>
        <v>2202.9249999999997</v>
      </c>
      <c r="AW19" s="1"/>
      <c r="AX19" s="1"/>
      <c r="AY19" s="1"/>
      <c r="AZ19" s="9">
        <f>255+3600+2238+2400+2343+2400+2400</f>
        <v>15636</v>
      </c>
      <c r="BA19" s="1"/>
      <c r="BB19" s="1"/>
      <c r="BC19" s="1"/>
      <c r="BD19">
        <v>9666</v>
      </c>
      <c r="BE19" s="1"/>
      <c r="BF19" s="1"/>
      <c r="BG19" s="1"/>
      <c r="BH19" s="111">
        <f t="shared" si="6"/>
        <v>105.425</v>
      </c>
      <c r="BI19" s="102">
        <f t="shared" si="9"/>
        <v>2308.35</v>
      </c>
      <c r="BJ19" s="1"/>
      <c r="BK19" s="1"/>
      <c r="BL19" s="1"/>
      <c r="BM19" s="1"/>
      <c r="BN19" s="1"/>
      <c r="BO19" s="1"/>
      <c r="BP19" s="1"/>
      <c r="BQ19" s="1"/>
      <c r="BR19" s="1"/>
      <c r="BS19" s="1"/>
      <c r="BT19" s="1"/>
      <c r="BU19" s="1"/>
      <c r="BV19" s="93"/>
      <c r="BW19" s="28">
        <f t="shared" si="7"/>
        <v>2308.35</v>
      </c>
      <c r="BX19" s="128">
        <f>BW19/'RPI_1880-2010'!B18*100</f>
        <v>208334.8375451263</v>
      </c>
      <c r="BY19" s="9" t="s">
        <v>183</v>
      </c>
    </row>
    <row r="20" spans="1:77" s="9" customFormat="1" x14ac:dyDescent="0.25">
      <c r="A20" s="83">
        <v>1897</v>
      </c>
      <c r="B20" s="1"/>
      <c r="C20" s="1"/>
      <c r="D20" s="1"/>
      <c r="E20" s="28">
        <f>28592+27021+69319</f>
        <v>124932</v>
      </c>
      <c r="F20" s="1"/>
      <c r="G20" s="1"/>
      <c r="H20" s="1"/>
      <c r="I20" s="108">
        <f>24098+8032+16065+8033+16066</f>
        <v>72294</v>
      </c>
      <c r="J20" s="103">
        <v>375</v>
      </c>
      <c r="K20" s="103">
        <v>10</v>
      </c>
      <c r="L20" s="103">
        <v>2</v>
      </c>
      <c r="M20" s="105">
        <f t="shared" si="1"/>
        <v>90122</v>
      </c>
      <c r="N20" s="103">
        <v>134</v>
      </c>
      <c r="O20" s="103">
        <v>8</v>
      </c>
      <c r="P20" s="103">
        <v>8</v>
      </c>
      <c r="Q20" s="105">
        <f t="shared" si="2"/>
        <v>32264</v>
      </c>
      <c r="R20" s="93"/>
      <c r="S20" s="1"/>
      <c r="T20" s="1"/>
      <c r="U20" s="93"/>
      <c r="V20" s="24">
        <f t="shared" si="3"/>
        <v>1357.7041666666667</v>
      </c>
      <c r="W20">
        <v>623</v>
      </c>
      <c r="X20">
        <v>13</v>
      </c>
      <c r="Y20">
        <v>7</v>
      </c>
      <c r="Z20" s="28">
        <f t="shared" si="4"/>
        <v>149683</v>
      </c>
      <c r="AA20" s="1"/>
      <c r="AB20" s="1"/>
      <c r="AC20" s="1"/>
      <c r="AD20">
        <v>6885</v>
      </c>
      <c r="AE20" s="1"/>
      <c r="AF20" s="1"/>
      <c r="AG20" s="1"/>
      <c r="AH20" s="93"/>
      <c r="AI20" s="93"/>
      <c r="AJ20" s="94"/>
      <c r="AK20" s="93"/>
      <c r="AL20" s="93"/>
      <c r="AM20" s="1"/>
      <c r="AN20" s="1"/>
      <c r="AO20" s="1"/>
      <c r="AP20" s="1"/>
      <c r="AQ20" s="36">
        <f t="shared" si="10"/>
        <v>767.04166666666663</v>
      </c>
      <c r="AR20" s="1"/>
      <c r="AS20" s="1"/>
      <c r="AT20" s="1"/>
      <c r="AU20" s="1"/>
      <c r="AV20" s="116">
        <f t="shared" si="8"/>
        <v>1984.0833333333335</v>
      </c>
      <c r="AW20" s="1"/>
      <c r="AX20" s="1"/>
      <c r="AY20" s="1"/>
      <c r="AZ20" s="9">
        <f>1194+1194+1200+2649</f>
        <v>6237</v>
      </c>
      <c r="BA20" s="1"/>
      <c r="BB20" s="1"/>
      <c r="BC20" s="1"/>
      <c r="BD20">
        <v>27522</v>
      </c>
      <c r="BE20" s="1"/>
      <c r="BF20" s="1"/>
      <c r="BG20" s="1"/>
      <c r="BH20" s="111">
        <f t="shared" si="6"/>
        <v>140.66249999999999</v>
      </c>
      <c r="BI20" s="102">
        <f t="shared" si="9"/>
        <v>2124.7458333333334</v>
      </c>
      <c r="BJ20" s="1"/>
      <c r="BK20" s="1"/>
      <c r="BL20" s="1"/>
      <c r="BM20" s="1"/>
      <c r="BN20" s="1"/>
      <c r="BO20" s="1"/>
      <c r="BP20" s="1"/>
      <c r="BQ20" s="1"/>
      <c r="BR20" s="1"/>
      <c r="BS20" s="1"/>
      <c r="BT20" s="1"/>
      <c r="BU20" s="1"/>
      <c r="BV20" s="93"/>
      <c r="BW20" s="28">
        <f t="shared" si="7"/>
        <v>2124.7458333333334</v>
      </c>
      <c r="BX20" s="128">
        <f>BW20/'RPI_1880-2010'!B19*100</f>
        <v>188030.60471976403</v>
      </c>
      <c r="BY20" s="9" t="s">
        <v>183</v>
      </c>
    </row>
    <row r="21" spans="1:77" s="9" customFormat="1" x14ac:dyDescent="0.25">
      <c r="A21" s="83">
        <v>1898</v>
      </c>
      <c r="B21" s="1"/>
      <c r="C21" s="1"/>
      <c r="D21" s="1"/>
      <c r="E21" s="108">
        <f>110722+8382+48578</f>
        <v>167682</v>
      </c>
      <c r="F21" s="1"/>
      <c r="G21" s="1"/>
      <c r="H21" s="1"/>
      <c r="I21" s="108">
        <f>24062+8033</f>
        <v>32095</v>
      </c>
      <c r="J21" s="103">
        <v>657</v>
      </c>
      <c r="K21" s="103">
        <v>0</v>
      </c>
      <c r="L21" s="103">
        <v>6</v>
      </c>
      <c r="M21" s="105">
        <f t="shared" si="1"/>
        <v>157686</v>
      </c>
      <c r="N21" s="103">
        <v>87</v>
      </c>
      <c r="O21" s="103">
        <v>79</v>
      </c>
      <c r="P21" s="103">
        <v>0</v>
      </c>
      <c r="Q21" s="105">
        <f t="shared" si="2"/>
        <v>21828</v>
      </c>
      <c r="R21" s="93"/>
      <c r="S21" s="1"/>
      <c r="T21" s="1"/>
      <c r="U21" s="93"/>
      <c r="V21" s="24">
        <f t="shared" si="3"/>
        <v>1713.4</v>
      </c>
      <c r="W21">
        <v>764</v>
      </c>
      <c r="X21">
        <v>1</v>
      </c>
      <c r="Y21">
        <v>11</v>
      </c>
      <c r="Z21" s="28">
        <f t="shared" si="4"/>
        <v>183383</v>
      </c>
      <c r="AA21" s="1"/>
      <c r="AB21" s="1"/>
      <c r="AC21" s="1"/>
      <c r="AD21">
        <v>41310</v>
      </c>
      <c r="AE21" s="1"/>
      <c r="AF21" s="1"/>
      <c r="AG21" s="1"/>
      <c r="AH21" s="93"/>
      <c r="AI21" s="93"/>
      <c r="AJ21" s="94"/>
      <c r="AK21" s="93"/>
      <c r="AL21" s="93"/>
      <c r="AM21" s="1"/>
      <c r="AN21" s="1"/>
      <c r="AO21" s="1"/>
      <c r="AP21" s="1"/>
      <c r="AQ21" s="36">
        <f t="shared" si="10"/>
        <v>1041.9708333333333</v>
      </c>
      <c r="AR21" s="1"/>
      <c r="AS21" s="1"/>
      <c r="AT21" s="1"/>
      <c r="AU21" s="1"/>
      <c r="AV21" s="116">
        <f t="shared" si="8"/>
        <v>2516.6</v>
      </c>
      <c r="AW21" s="1"/>
      <c r="AX21" s="1"/>
      <c r="AY21" s="1"/>
      <c r="AZ21" s="98">
        <f>1152+3600+1372+2463+8050+324+1152+2400+3600+2400+2400+3012</f>
        <v>31925</v>
      </c>
      <c r="BA21" s="1"/>
      <c r="BB21" s="1"/>
      <c r="BC21" s="1"/>
      <c r="BD21">
        <v>25380</v>
      </c>
      <c r="BE21" s="1"/>
      <c r="BF21" s="1"/>
      <c r="BG21" s="1"/>
      <c r="BH21" s="111">
        <f t="shared" si="6"/>
        <v>238.77083333333334</v>
      </c>
      <c r="BI21" s="102">
        <f t="shared" si="9"/>
        <v>2755.3708333333334</v>
      </c>
      <c r="BJ21" s="1"/>
      <c r="BK21" s="1"/>
      <c r="BL21" s="1"/>
      <c r="BM21" s="1"/>
      <c r="BN21" s="1"/>
      <c r="BO21" s="1"/>
      <c r="BP21" s="1"/>
      <c r="BQ21" s="1"/>
      <c r="BR21" s="1"/>
      <c r="BS21" s="1"/>
      <c r="BT21" s="1"/>
      <c r="BU21" s="1"/>
      <c r="BV21" s="93"/>
      <c r="BW21" s="28">
        <f t="shared" si="7"/>
        <v>2755.3708333333334</v>
      </c>
      <c r="BX21" s="128">
        <f>BW21/'RPI_1880-2010'!B20*100</f>
        <v>239389.29916015058</v>
      </c>
      <c r="BY21" s="9" t="s">
        <v>183</v>
      </c>
    </row>
    <row r="22" spans="1:77" s="9" customFormat="1" x14ac:dyDescent="0.25">
      <c r="A22" s="83">
        <v>1899</v>
      </c>
      <c r="B22" s="1"/>
      <c r="C22" s="1"/>
      <c r="D22" s="1"/>
      <c r="E22" s="28">
        <f>27147+7239+786</f>
        <v>35172</v>
      </c>
      <c r="F22" s="1"/>
      <c r="G22" s="1"/>
      <c r="H22" s="1"/>
      <c r="I22" s="108">
        <f>8033+16306+15826+24098</f>
        <v>64263</v>
      </c>
      <c r="J22" s="103">
        <v>416</v>
      </c>
      <c r="K22" s="103">
        <v>18</v>
      </c>
      <c r="L22" s="103">
        <v>1</v>
      </c>
      <c r="M22" s="105">
        <f t="shared" si="1"/>
        <v>100057</v>
      </c>
      <c r="N22" s="104">
        <v>50</v>
      </c>
      <c r="O22" s="104">
        <v>12</v>
      </c>
      <c r="P22" s="104">
        <v>10</v>
      </c>
      <c r="Q22" s="105">
        <f t="shared" si="2"/>
        <v>12154</v>
      </c>
      <c r="R22" s="93"/>
      <c r="S22" s="1"/>
      <c r="T22" s="1"/>
      <c r="U22" s="93"/>
      <c r="V22" s="24">
        <f t="shared" si="3"/>
        <v>1094.925</v>
      </c>
      <c r="W22" s="96">
        <v>477</v>
      </c>
      <c r="X22" s="96">
        <v>9</v>
      </c>
      <c r="Y22" s="96">
        <v>0</v>
      </c>
      <c r="Z22" s="28">
        <f t="shared" si="4"/>
        <v>114588</v>
      </c>
      <c r="AA22" s="1"/>
      <c r="AB22" s="1"/>
      <c r="AC22" s="1"/>
      <c r="AD22" s="96">
        <v>27540</v>
      </c>
      <c r="AE22" s="1"/>
      <c r="AF22" s="1"/>
      <c r="AG22" s="1"/>
      <c r="AH22" s="93"/>
      <c r="AI22" s="93"/>
      <c r="AJ22" s="94"/>
      <c r="AK22" s="93"/>
      <c r="AL22" s="93"/>
      <c r="AM22" s="1"/>
      <c r="AN22" s="1"/>
      <c r="AO22" s="1"/>
      <c r="AP22" s="1"/>
      <c r="AQ22" s="36">
        <f t="shared" si="10"/>
        <v>669.67083333333335</v>
      </c>
      <c r="AR22" s="1"/>
      <c r="AS22" s="1"/>
      <c r="AT22" s="1"/>
      <c r="AU22" s="1"/>
      <c r="AV22" s="116">
        <f t="shared" si="8"/>
        <v>1474.0583333333334</v>
      </c>
      <c r="AW22" s="1"/>
      <c r="AX22" s="1"/>
      <c r="AY22" s="1"/>
      <c r="AZ22">
        <f>11970+2400+3012+1437+1178+654+3780+3240+780+3500+324+11970+654+1437+2400+2400</f>
        <v>51136</v>
      </c>
      <c r="BA22" s="1"/>
      <c r="BB22" s="1"/>
      <c r="BC22" s="1"/>
      <c r="BD22" s="96">
        <v>18593</v>
      </c>
      <c r="BE22" s="1"/>
      <c r="BF22" s="1"/>
      <c r="BG22" s="1"/>
      <c r="BH22" s="111">
        <f t="shared" si="6"/>
        <v>290.53750000000002</v>
      </c>
      <c r="BI22" s="102">
        <f t="shared" si="9"/>
        <v>1764.5958333333333</v>
      </c>
      <c r="BJ22" s="1"/>
      <c r="BK22" s="1"/>
      <c r="BL22" s="1"/>
      <c r="BM22" s="1"/>
      <c r="BN22" s="1"/>
      <c r="BO22" s="1"/>
      <c r="BP22" s="1"/>
      <c r="BQ22" s="1"/>
      <c r="BR22" s="1"/>
      <c r="BS22" s="1"/>
      <c r="BT22" s="1"/>
      <c r="BU22" s="1"/>
      <c r="BV22" s="93"/>
      <c r="BW22" s="28">
        <f t="shared" si="7"/>
        <v>1764.5958333333333</v>
      </c>
      <c r="BX22" s="128">
        <f>BW22/'RPI_1880-2010'!B21*100</f>
        <v>154925.00731635938</v>
      </c>
      <c r="BY22" s="9" t="s">
        <v>183</v>
      </c>
    </row>
    <row r="23" spans="1:77" s="9" customFormat="1" x14ac:dyDescent="0.25">
      <c r="A23" s="83">
        <v>1900</v>
      </c>
      <c r="B23">
        <v>479</v>
      </c>
      <c r="C23">
        <v>10</v>
      </c>
      <c r="D23">
        <v>0</v>
      </c>
      <c r="E23" s="27">
        <f t="shared" ref="E23:E42" si="12">D23+(12*C23)+(240*B23)</f>
        <v>115080</v>
      </c>
      <c r="F23" s="9">
        <v>233</v>
      </c>
      <c r="G23" s="9">
        <v>5</v>
      </c>
      <c r="H23" s="9">
        <v>10</v>
      </c>
      <c r="I23" s="27">
        <f t="shared" ref="I23:I42" si="13">H23+(12*G23)+(240*F23)</f>
        <v>55990</v>
      </c>
      <c r="J23">
        <v>448</v>
      </c>
      <c r="K23">
        <v>17</v>
      </c>
      <c r="L23">
        <v>4</v>
      </c>
      <c r="M23" s="27">
        <f t="shared" si="1"/>
        <v>107728</v>
      </c>
      <c r="N23">
        <v>45</v>
      </c>
      <c r="O23">
        <v>5</v>
      </c>
      <c r="P23">
        <v>0</v>
      </c>
      <c r="Q23" s="27">
        <f t="shared" si="2"/>
        <v>10860</v>
      </c>
      <c r="R23" s="93"/>
      <c r="S23" s="1"/>
      <c r="T23" s="1"/>
      <c r="U23" s="93"/>
      <c r="V23" s="24">
        <f t="shared" si="3"/>
        <v>1323.6041666666667</v>
      </c>
      <c r="W23">
        <v>529</v>
      </c>
      <c r="X23">
        <v>9</v>
      </c>
      <c r="Y23">
        <v>8</v>
      </c>
      <c r="Z23" s="28">
        <f t="shared" si="4"/>
        <v>127076</v>
      </c>
      <c r="AA23">
        <v>86</v>
      </c>
      <c r="AB23">
        <v>1</v>
      </c>
      <c r="AC23">
        <v>3</v>
      </c>
      <c r="AD23" s="28">
        <f t="shared" ref="AD23:AD42" si="14">(AA23*240)+(AB23*12)+AC23</f>
        <v>20655</v>
      </c>
      <c r="AE23">
        <v>131</v>
      </c>
      <c r="AF23">
        <v>11</v>
      </c>
      <c r="AG23">
        <v>0</v>
      </c>
      <c r="AH23" s="27">
        <f t="shared" ref="AH23:AH42" si="15">AG23+(12*AF23)+(240*AE23)</f>
        <v>31572</v>
      </c>
      <c r="AI23" s="107">
        <v>2</v>
      </c>
      <c r="AJ23" s="107">
        <v>14</v>
      </c>
      <c r="AK23" s="107">
        <v>0</v>
      </c>
      <c r="AL23" s="27">
        <f>AK23+(12*AJ23)+(240*AI23)</f>
        <v>648</v>
      </c>
      <c r="AM23" s="1"/>
      <c r="AN23" s="1"/>
      <c r="AO23" s="1"/>
      <c r="AP23" s="1"/>
      <c r="AQ23" s="36">
        <f t="shared" si="10"/>
        <v>836.75833333333333</v>
      </c>
      <c r="AR23" s="99">
        <v>59</v>
      </c>
      <c r="AS23" s="99">
        <v>16</v>
      </c>
      <c r="AT23" s="99">
        <v>11</v>
      </c>
      <c r="AU23" s="36">
        <f>((240*AR23)+(12*AS23)+AT23)/240</f>
        <v>59.845833333333331</v>
      </c>
      <c r="AV23" s="116">
        <f t="shared" si="8"/>
        <v>2016.5500000000002</v>
      </c>
      <c r="AW23" s="1"/>
      <c r="AX23" s="1"/>
      <c r="AY23" s="1"/>
      <c r="AZ23">
        <f>1221+3600+1221+1818+324+3340+3670+366+537+321+1372+1178+1221+3600+1818+2400</f>
        <v>28007</v>
      </c>
      <c r="BA23" s="1"/>
      <c r="BB23" s="1"/>
      <c r="BC23" s="1"/>
      <c r="BD23">
        <v>20871</v>
      </c>
      <c r="BE23" s="1"/>
      <c r="BF23" s="1"/>
      <c r="BG23" s="1"/>
      <c r="BH23" s="111">
        <f t="shared" si="6"/>
        <v>203.65833333333333</v>
      </c>
      <c r="BI23" s="102">
        <f t="shared" si="9"/>
        <v>2220.2083333333335</v>
      </c>
      <c r="BJ23" s="1"/>
      <c r="BK23" s="1"/>
      <c r="BL23" s="1"/>
      <c r="BM23" s="1"/>
      <c r="BN23" s="1"/>
      <c r="BO23" s="1"/>
      <c r="BP23" s="1"/>
      <c r="BQ23" s="1"/>
      <c r="BR23" s="1"/>
      <c r="BS23" s="99">
        <v>2016</v>
      </c>
      <c r="BT23" s="99">
        <v>11</v>
      </c>
      <c r="BU23" s="99">
        <v>0</v>
      </c>
      <c r="BV23" s="33">
        <f t="shared" ref="BV23" si="16">((240*BS23)+(12*BT23)+BU23)/240</f>
        <v>2016.55</v>
      </c>
      <c r="BW23" s="28">
        <f t="shared" si="7"/>
        <v>2220.2083333333335</v>
      </c>
      <c r="BX23" s="128">
        <f>BW23/'RPI_1880-2010'!B22*100</f>
        <v>187359.35302390999</v>
      </c>
      <c r="BY23" t="s">
        <v>189</v>
      </c>
    </row>
    <row r="24" spans="1:77" s="9" customFormat="1" x14ac:dyDescent="0.25">
      <c r="A24" s="83">
        <v>1901</v>
      </c>
      <c r="B24">
        <v>783</v>
      </c>
      <c r="C24">
        <v>8</v>
      </c>
      <c r="D24">
        <v>7</v>
      </c>
      <c r="E24" s="27">
        <f t="shared" si="12"/>
        <v>188023</v>
      </c>
      <c r="F24">
        <v>267</v>
      </c>
      <c r="G24">
        <v>15</v>
      </c>
      <c r="H24">
        <v>0</v>
      </c>
      <c r="I24" s="27">
        <f t="shared" si="13"/>
        <v>64260</v>
      </c>
      <c r="J24">
        <v>473</v>
      </c>
      <c r="K24">
        <v>13</v>
      </c>
      <c r="L24">
        <v>3</v>
      </c>
      <c r="M24" s="27">
        <f t="shared" si="1"/>
        <v>113679</v>
      </c>
      <c r="N24">
        <v>56</v>
      </c>
      <c r="O24">
        <v>19</v>
      </c>
      <c r="P24">
        <v>2</v>
      </c>
      <c r="Q24" s="27">
        <f t="shared" si="2"/>
        <v>13670</v>
      </c>
      <c r="R24" s="93"/>
      <c r="S24" s="1"/>
      <c r="T24" s="1"/>
      <c r="U24" s="93"/>
      <c r="V24" s="24">
        <f t="shared" si="3"/>
        <v>1716.9708333333333</v>
      </c>
      <c r="W24">
        <v>583</v>
      </c>
      <c r="X24">
        <v>18</v>
      </c>
      <c r="Y24">
        <v>7</v>
      </c>
      <c r="Z24" s="28">
        <f t="shared" si="4"/>
        <v>140143</v>
      </c>
      <c r="AA24">
        <v>172</v>
      </c>
      <c r="AB24">
        <v>2</v>
      </c>
      <c r="AC24">
        <v>6</v>
      </c>
      <c r="AD24" s="28">
        <f t="shared" si="14"/>
        <v>41310</v>
      </c>
      <c r="AE24">
        <v>143</v>
      </c>
      <c r="AF24">
        <v>2</v>
      </c>
      <c r="AG24">
        <v>9</v>
      </c>
      <c r="AH24" s="27">
        <f t="shared" si="15"/>
        <v>34353</v>
      </c>
      <c r="AI24" s="107">
        <v>1</v>
      </c>
      <c r="AJ24" s="107">
        <v>9</v>
      </c>
      <c r="AK24" s="107">
        <v>6</v>
      </c>
      <c r="AL24" s="27">
        <f t="shared" ref="AL24:AL31" si="17">AK24+(12*AJ24)+(240*AI24)</f>
        <v>354</v>
      </c>
      <c r="AM24" s="1"/>
      <c r="AN24" s="1"/>
      <c r="AO24" s="1"/>
      <c r="AP24" s="1"/>
      <c r="AQ24" s="36">
        <f t="shared" si="10"/>
        <v>986.04166666666663</v>
      </c>
      <c r="AR24" s="1"/>
      <c r="AS24" s="1"/>
      <c r="AT24" s="1"/>
      <c r="AU24" s="1"/>
      <c r="AV24" s="116">
        <f t="shared" si="8"/>
        <v>2482.4666666666667</v>
      </c>
      <c r="AW24" s="1"/>
      <c r="AX24" s="1"/>
      <c r="AY24" s="1"/>
      <c r="AZ24">
        <f>10000+354+8025+324+222+330+2400+1770+2400+1816+2400+2400</f>
        <v>32441</v>
      </c>
      <c r="BA24" s="1"/>
      <c r="BB24" s="1"/>
      <c r="BC24" s="1"/>
      <c r="BD24">
        <v>20490</v>
      </c>
      <c r="BE24" s="1"/>
      <c r="BF24" s="1"/>
      <c r="BG24" s="1"/>
      <c r="BH24" s="111">
        <f t="shared" si="6"/>
        <v>220.54583333333332</v>
      </c>
      <c r="BI24" s="102">
        <f t="shared" si="9"/>
        <v>2703.0124999999998</v>
      </c>
      <c r="BJ24" s="1"/>
      <c r="BK24" s="1"/>
      <c r="BL24" s="1"/>
      <c r="BM24" s="1"/>
      <c r="BN24" s="1"/>
      <c r="BO24" s="1"/>
      <c r="BP24" s="1"/>
      <c r="BQ24" s="1"/>
      <c r="BR24" s="1"/>
      <c r="BS24" s="1"/>
      <c r="BT24" s="1"/>
      <c r="BU24" s="1"/>
      <c r="BV24" s="93"/>
      <c r="BW24" s="28">
        <f t="shared" si="7"/>
        <v>2703.0124999999998</v>
      </c>
      <c r="BX24" s="128">
        <f>BW24/'RPI_1880-2010'!B23*100</f>
        <v>228874.89415749363</v>
      </c>
      <c r="BY24" t="s">
        <v>184</v>
      </c>
    </row>
    <row r="25" spans="1:77" s="9" customFormat="1" x14ac:dyDescent="0.25">
      <c r="A25" s="83">
        <v>1902</v>
      </c>
      <c r="B25">
        <v>801</v>
      </c>
      <c r="C25">
        <v>19</v>
      </c>
      <c r="D25">
        <v>6</v>
      </c>
      <c r="E25" s="27">
        <f t="shared" si="12"/>
        <v>192474</v>
      </c>
      <c r="F25">
        <v>226</v>
      </c>
      <c r="G25">
        <v>6</v>
      </c>
      <c r="H25">
        <v>3</v>
      </c>
      <c r="I25" s="27">
        <f t="shared" si="13"/>
        <v>54315</v>
      </c>
      <c r="J25">
        <v>242</v>
      </c>
      <c r="K25">
        <v>6</v>
      </c>
      <c r="L25">
        <v>0</v>
      </c>
      <c r="M25" s="27">
        <f t="shared" si="1"/>
        <v>58152</v>
      </c>
      <c r="N25">
        <v>48</v>
      </c>
      <c r="O25">
        <v>0</v>
      </c>
      <c r="P25">
        <v>5</v>
      </c>
      <c r="Q25" s="27">
        <f t="shared" si="2"/>
        <v>11525</v>
      </c>
      <c r="R25" s="93"/>
      <c r="S25" s="1"/>
      <c r="T25" s="1"/>
      <c r="U25" s="93"/>
      <c r="V25" s="24">
        <f t="shared" si="3"/>
        <v>1360.2375</v>
      </c>
      <c r="W25">
        <v>661</v>
      </c>
      <c r="X25">
        <v>11</v>
      </c>
      <c r="Y25">
        <v>1</v>
      </c>
      <c r="Z25" s="28">
        <f t="shared" si="4"/>
        <v>158773</v>
      </c>
      <c r="AA25">
        <v>137</v>
      </c>
      <c r="AB25">
        <v>1</v>
      </c>
      <c r="AC25">
        <v>3</v>
      </c>
      <c r="AD25" s="28">
        <f t="shared" si="14"/>
        <v>32895</v>
      </c>
      <c r="AE25">
        <v>185</v>
      </c>
      <c r="AF25">
        <v>4</v>
      </c>
      <c r="AG25">
        <v>0</v>
      </c>
      <c r="AH25" s="27">
        <f t="shared" si="15"/>
        <v>44448</v>
      </c>
      <c r="AI25" s="107">
        <v>1</v>
      </c>
      <c r="AJ25" s="107">
        <v>7</v>
      </c>
      <c r="AK25" s="107">
        <v>0</v>
      </c>
      <c r="AL25" s="27">
        <f t="shared" si="17"/>
        <v>324</v>
      </c>
      <c r="AM25" s="1"/>
      <c r="AN25" s="1"/>
      <c r="AO25" s="1"/>
      <c r="AP25" s="1"/>
      <c r="AQ25" s="36">
        <f t="shared" si="10"/>
        <v>1076.2333333333333</v>
      </c>
      <c r="AR25" s="1"/>
      <c r="AS25" s="1"/>
      <c r="AT25" s="1"/>
      <c r="AU25" s="1"/>
      <c r="AV25" s="116">
        <f t="shared" si="8"/>
        <v>2303.7750000000001</v>
      </c>
      <c r="AW25" s="1"/>
      <c r="AX25" s="1"/>
      <c r="AY25" s="1"/>
      <c r="AZ25">
        <f>3500+372+3230+1562+1327</f>
        <v>9991</v>
      </c>
      <c r="BA25" s="1"/>
      <c r="BB25" s="1"/>
      <c r="BC25" s="1"/>
      <c r="BD25">
        <v>21856</v>
      </c>
      <c r="BE25" s="1"/>
      <c r="BF25" s="1"/>
      <c r="BG25" s="1"/>
      <c r="BH25" s="111">
        <f t="shared" si="6"/>
        <v>132.69583333333333</v>
      </c>
      <c r="BI25" s="102">
        <f t="shared" si="9"/>
        <v>2436.4708333333333</v>
      </c>
      <c r="BJ25" s="1"/>
      <c r="BK25" s="1"/>
      <c r="BL25" s="1"/>
      <c r="BM25" s="1"/>
      <c r="BN25" s="1"/>
      <c r="BO25" s="1"/>
      <c r="BP25" s="1"/>
      <c r="BQ25" s="1"/>
      <c r="BR25" s="1"/>
      <c r="BS25" s="1"/>
      <c r="BT25" s="1"/>
      <c r="BU25" s="1"/>
      <c r="BV25" s="93"/>
      <c r="BW25" s="28">
        <f t="shared" si="7"/>
        <v>2436.4708333333333</v>
      </c>
      <c r="BX25" s="128">
        <f>BW25/'RPI_1880-2010'!B24*100</f>
        <v>206305.74372001129</v>
      </c>
      <c r="BY25" t="s">
        <v>184</v>
      </c>
    </row>
    <row r="26" spans="1:77" s="9" customFormat="1" x14ac:dyDescent="0.25">
      <c r="A26" s="83">
        <v>1903</v>
      </c>
      <c r="B26">
        <v>659</v>
      </c>
      <c r="C26">
        <v>9</v>
      </c>
      <c r="D26">
        <v>3</v>
      </c>
      <c r="E26" s="27">
        <f t="shared" si="12"/>
        <v>158271</v>
      </c>
      <c r="F26">
        <v>338</v>
      </c>
      <c r="G26">
        <v>18</v>
      </c>
      <c r="H26">
        <v>9</v>
      </c>
      <c r="I26" s="27">
        <f t="shared" si="13"/>
        <v>81345</v>
      </c>
      <c r="J26">
        <v>615</v>
      </c>
      <c r="K26">
        <v>19</v>
      </c>
      <c r="L26">
        <v>2</v>
      </c>
      <c r="M26" s="27">
        <f t="shared" si="1"/>
        <v>147830</v>
      </c>
      <c r="N26">
        <v>35</v>
      </c>
      <c r="O26">
        <v>7</v>
      </c>
      <c r="P26">
        <v>6</v>
      </c>
      <c r="Q26" s="27">
        <f t="shared" si="2"/>
        <v>8490</v>
      </c>
      <c r="R26" s="93"/>
      <c r="S26" s="1"/>
      <c r="T26" s="1"/>
      <c r="U26" s="93"/>
      <c r="V26" s="24">
        <f t="shared" si="3"/>
        <v>1750.0458333333333</v>
      </c>
      <c r="W26">
        <v>529</v>
      </c>
      <c r="X26">
        <v>10</v>
      </c>
      <c r="Y26">
        <v>8</v>
      </c>
      <c r="Z26" s="28">
        <f t="shared" si="4"/>
        <v>127088</v>
      </c>
      <c r="AA26">
        <v>159</v>
      </c>
      <c r="AB26">
        <v>7</v>
      </c>
      <c r="AC26">
        <v>6</v>
      </c>
      <c r="AD26" s="28">
        <f t="shared" si="14"/>
        <v>38250</v>
      </c>
      <c r="AE26">
        <v>131</v>
      </c>
      <c r="AF26">
        <v>17</v>
      </c>
      <c r="AG26">
        <v>8</v>
      </c>
      <c r="AH26" s="27">
        <f t="shared" si="15"/>
        <v>31652</v>
      </c>
      <c r="AI26" s="107">
        <v>2</v>
      </c>
      <c r="AJ26" s="107">
        <v>18</v>
      </c>
      <c r="AK26" s="107">
        <v>0</v>
      </c>
      <c r="AL26" s="27">
        <f t="shared" si="17"/>
        <v>696</v>
      </c>
      <c r="AM26" s="1"/>
      <c r="AN26" s="1"/>
      <c r="AO26" s="1"/>
      <c r="AP26" s="1"/>
      <c r="AQ26" s="36">
        <f t="shared" si="10"/>
        <v>918.95416666666665</v>
      </c>
      <c r="AR26" s="1"/>
      <c r="AS26" s="1"/>
      <c r="AT26" s="1"/>
      <c r="AU26" s="1"/>
      <c r="AV26" s="116">
        <f t="shared" si="8"/>
        <v>2473.4250000000002</v>
      </c>
      <c r="AW26" s="1"/>
      <c r="AX26" s="1"/>
      <c r="AY26" s="1"/>
      <c r="AZ26">
        <f>540+528+3500+4450+168+105+339+339+4314+9792</f>
        <v>24075</v>
      </c>
      <c r="BA26" s="1"/>
      <c r="BB26" s="1"/>
      <c r="BC26" s="1"/>
      <c r="BD26">
        <v>22863</v>
      </c>
      <c r="BE26" s="1"/>
      <c r="BF26" s="1"/>
      <c r="BG26" s="1"/>
      <c r="BH26" s="111">
        <f t="shared" si="6"/>
        <v>195.57499999999999</v>
      </c>
      <c r="BI26" s="102">
        <f t="shared" si="9"/>
        <v>2669</v>
      </c>
      <c r="BJ26" s="1"/>
      <c r="BK26" s="1"/>
      <c r="BL26" s="1"/>
      <c r="BM26" s="1"/>
      <c r="BN26" s="1"/>
      <c r="BO26" s="1"/>
      <c r="BP26" s="1"/>
      <c r="BQ26" s="1"/>
      <c r="BR26" s="1"/>
      <c r="BS26" s="1"/>
      <c r="BT26" s="1"/>
      <c r="BU26" s="1"/>
      <c r="BV26" s="93"/>
      <c r="BW26" s="28">
        <f t="shared" si="7"/>
        <v>2669</v>
      </c>
      <c r="BX26" s="128">
        <f>BW26/'RPI_1880-2010'!B25*100</f>
        <v>223534.338358459</v>
      </c>
      <c r="BY26" t="s">
        <v>184</v>
      </c>
    </row>
    <row r="27" spans="1:77" s="9" customFormat="1" x14ac:dyDescent="0.25">
      <c r="A27" s="83">
        <v>1904</v>
      </c>
      <c r="B27">
        <v>1048</v>
      </c>
      <c r="C27">
        <v>1</v>
      </c>
      <c r="D27">
        <v>9</v>
      </c>
      <c r="E27" s="27">
        <f t="shared" si="12"/>
        <v>251541</v>
      </c>
      <c r="F27">
        <v>243</v>
      </c>
      <c r="G27">
        <v>17</v>
      </c>
      <c r="H27">
        <v>3</v>
      </c>
      <c r="I27" s="27">
        <f t="shared" si="13"/>
        <v>58527</v>
      </c>
      <c r="J27">
        <v>296</v>
      </c>
      <c r="K27">
        <v>13</v>
      </c>
      <c r="L27">
        <v>5</v>
      </c>
      <c r="M27" s="27">
        <f t="shared" si="1"/>
        <v>71201</v>
      </c>
      <c r="N27">
        <v>0</v>
      </c>
      <c r="O27">
        <v>8</v>
      </c>
      <c r="P27">
        <v>9</v>
      </c>
      <c r="Q27" s="27">
        <f t="shared" si="2"/>
        <v>105</v>
      </c>
      <c r="R27" s="93"/>
      <c r="S27" s="1"/>
      <c r="T27" s="1"/>
      <c r="U27" s="93"/>
      <c r="V27" s="24">
        <f t="shared" si="3"/>
        <v>1805.2041666666667</v>
      </c>
      <c r="W27">
        <v>554</v>
      </c>
      <c r="X27">
        <v>1</v>
      </c>
      <c r="Y27">
        <v>7</v>
      </c>
      <c r="Z27" s="28">
        <f t="shared" si="4"/>
        <v>132979</v>
      </c>
      <c r="AA27">
        <v>185</v>
      </c>
      <c r="AB27">
        <v>18</v>
      </c>
      <c r="AC27">
        <v>9</v>
      </c>
      <c r="AD27" s="28">
        <f t="shared" si="14"/>
        <v>44625</v>
      </c>
      <c r="AE27">
        <v>116</v>
      </c>
      <c r="AF27">
        <v>4</v>
      </c>
      <c r="AG27">
        <v>0</v>
      </c>
      <c r="AH27" s="27">
        <f t="shared" si="15"/>
        <v>27888</v>
      </c>
      <c r="AI27" s="107" t="s">
        <v>181</v>
      </c>
      <c r="AJ27" s="107"/>
      <c r="AK27" s="107"/>
      <c r="AL27" s="27"/>
      <c r="AM27" s="1"/>
      <c r="AN27" s="1"/>
      <c r="AO27" s="1"/>
      <c r="AP27" s="1"/>
      <c r="AQ27" s="36">
        <f t="shared" si="10"/>
        <v>950.49166666666667</v>
      </c>
      <c r="AR27" s="1"/>
      <c r="AS27" s="1"/>
      <c r="AT27" s="1"/>
      <c r="AU27" s="1"/>
      <c r="AV27" s="116">
        <f t="shared" si="8"/>
        <v>2445.2749999999996</v>
      </c>
      <c r="AW27" s="1"/>
      <c r="AX27" s="1"/>
      <c r="AY27" s="1"/>
      <c r="AZ27">
        <f>15361+336+618+333+3230+9204+1458+2899+8724+1464+2250+5998</f>
        <v>51875</v>
      </c>
      <c r="BA27" s="1"/>
      <c r="BB27" s="1"/>
      <c r="BC27" s="1"/>
      <c r="BD27">
        <v>22626</v>
      </c>
      <c r="BE27" s="1"/>
      <c r="BF27" s="1"/>
      <c r="BG27" s="1"/>
      <c r="BH27" s="111">
        <f t="shared" si="6"/>
        <v>310.42083333333335</v>
      </c>
      <c r="BI27" s="102">
        <f t="shared" si="9"/>
        <v>2755.6958333333332</v>
      </c>
      <c r="BJ27" s="1"/>
      <c r="BK27" s="1"/>
      <c r="BL27" s="1"/>
      <c r="BM27" s="1"/>
      <c r="BN27" s="1"/>
      <c r="BO27" s="1"/>
      <c r="BP27" s="1"/>
      <c r="BQ27" s="1"/>
      <c r="BR27" s="1"/>
      <c r="BS27" s="1"/>
      <c r="BT27" s="1"/>
      <c r="BU27" s="1"/>
      <c r="BV27" s="93"/>
      <c r="BW27" s="28">
        <f t="shared" si="7"/>
        <v>2755.6958333333332</v>
      </c>
      <c r="BX27" s="128">
        <f>BW27/'RPI_1880-2010'!B26*100</f>
        <v>231571.07843137256</v>
      </c>
      <c r="BY27" t="s">
        <v>184</v>
      </c>
    </row>
    <row r="28" spans="1:77" s="9" customFormat="1" x14ac:dyDescent="0.25">
      <c r="A28" s="83">
        <v>1905</v>
      </c>
      <c r="B28">
        <v>637</v>
      </c>
      <c r="C28">
        <v>6</v>
      </c>
      <c r="D28">
        <v>1</v>
      </c>
      <c r="E28" s="27">
        <f t="shared" si="12"/>
        <v>152953</v>
      </c>
      <c r="F28">
        <v>119</v>
      </c>
      <c r="G28">
        <v>1</v>
      </c>
      <c r="H28">
        <v>8</v>
      </c>
      <c r="I28" s="27">
        <f t="shared" si="13"/>
        <v>28580</v>
      </c>
      <c r="J28">
        <v>193</v>
      </c>
      <c r="K28">
        <v>2</v>
      </c>
      <c r="L28">
        <v>0</v>
      </c>
      <c r="M28" s="27">
        <f t="shared" si="1"/>
        <v>46344</v>
      </c>
      <c r="N28">
        <v>64</v>
      </c>
      <c r="O28">
        <v>16</v>
      </c>
      <c r="P28">
        <v>7</v>
      </c>
      <c r="Q28" s="27">
        <f t="shared" si="2"/>
        <v>15559</v>
      </c>
      <c r="R28" s="93"/>
      <c r="S28" s="1"/>
      <c r="T28" s="1"/>
      <c r="U28" s="93"/>
      <c r="V28" s="24">
        <f t="shared" si="3"/>
        <v>1152.5958333333333</v>
      </c>
      <c r="W28">
        <v>707</v>
      </c>
      <c r="X28">
        <v>11</v>
      </c>
      <c r="Y28">
        <v>11</v>
      </c>
      <c r="Z28" s="28">
        <f t="shared" si="4"/>
        <v>169823</v>
      </c>
      <c r="AA28">
        <v>209</v>
      </c>
      <c r="AB28">
        <v>6</v>
      </c>
      <c r="AC28">
        <v>4</v>
      </c>
      <c r="AD28" s="28">
        <f t="shared" si="14"/>
        <v>50236</v>
      </c>
      <c r="AE28">
        <v>125</v>
      </c>
      <c r="AF28">
        <v>14</v>
      </c>
      <c r="AG28">
        <v>0</v>
      </c>
      <c r="AH28" s="27">
        <f t="shared" si="15"/>
        <v>30168</v>
      </c>
      <c r="AI28" s="107">
        <v>1</v>
      </c>
      <c r="AJ28" s="107">
        <v>8</v>
      </c>
      <c r="AK28" s="107">
        <v>0</v>
      </c>
      <c r="AL28" s="27">
        <f t="shared" si="17"/>
        <v>336</v>
      </c>
      <c r="AM28" s="1"/>
      <c r="AN28" s="1"/>
      <c r="AO28" s="1"/>
      <c r="AP28" s="1"/>
      <c r="AQ28" s="36">
        <f t="shared" si="10"/>
        <v>1072.0791666666667</v>
      </c>
      <c r="AR28" s="1"/>
      <c r="AS28" s="1"/>
      <c r="AT28" s="1"/>
      <c r="AU28" s="1"/>
      <c r="AV28" s="116">
        <f t="shared" si="8"/>
        <v>2058.3291666666669</v>
      </c>
      <c r="AW28" s="1"/>
      <c r="AX28" s="1"/>
      <c r="AY28" s="1"/>
      <c r="AZ28">
        <f>198+9141+984+11125+246+5103+6390</f>
        <v>33187</v>
      </c>
      <c r="BA28" s="1"/>
      <c r="BB28" s="1"/>
      <c r="BC28" s="1"/>
      <c r="BD28">
        <f>6388+348</f>
        <v>6736</v>
      </c>
      <c r="BE28" s="1"/>
      <c r="BF28" s="1"/>
      <c r="BG28" s="1"/>
      <c r="BH28" s="111">
        <f t="shared" si="6"/>
        <v>166.34583333333333</v>
      </c>
      <c r="BI28" s="102">
        <f t="shared" si="9"/>
        <v>2224.6750000000002</v>
      </c>
      <c r="BJ28" s="1"/>
      <c r="BK28" s="1"/>
      <c r="BL28" s="1"/>
      <c r="BM28" s="1"/>
      <c r="BN28" s="1"/>
      <c r="BO28" s="1"/>
      <c r="BP28" s="1"/>
      <c r="BQ28" s="1"/>
      <c r="BR28" s="1"/>
      <c r="BS28" s="1"/>
      <c r="BT28" s="1"/>
      <c r="BU28" s="1"/>
      <c r="BV28" s="93"/>
      <c r="BW28" s="28">
        <f t="shared" si="7"/>
        <v>2224.6750000000002</v>
      </c>
      <c r="BX28" s="128">
        <f>BW28/'RPI_1880-2010'!B27*100</f>
        <v>186321.189279732</v>
      </c>
      <c r="BY28" t="s">
        <v>184</v>
      </c>
    </row>
    <row r="29" spans="1:77" s="9" customFormat="1" x14ac:dyDescent="0.25">
      <c r="A29" s="83">
        <v>1906</v>
      </c>
      <c r="B29">
        <v>900</v>
      </c>
      <c r="C29">
        <v>18</v>
      </c>
      <c r="D29">
        <v>5</v>
      </c>
      <c r="E29" s="27">
        <f t="shared" si="12"/>
        <v>216221</v>
      </c>
      <c r="F29">
        <v>84</v>
      </c>
      <c r="G29">
        <v>2</v>
      </c>
      <c r="H29">
        <v>3</v>
      </c>
      <c r="I29" s="27">
        <f t="shared" si="13"/>
        <v>20187</v>
      </c>
      <c r="J29">
        <v>242</v>
      </c>
      <c r="K29">
        <v>5</v>
      </c>
      <c r="L29">
        <v>1</v>
      </c>
      <c r="M29" s="27">
        <f t="shared" si="1"/>
        <v>58141</v>
      </c>
      <c r="N29">
        <v>75</v>
      </c>
      <c r="O29">
        <v>8</v>
      </c>
      <c r="P29">
        <v>3</v>
      </c>
      <c r="Q29" s="27">
        <f t="shared" si="2"/>
        <v>18099</v>
      </c>
      <c r="R29" s="93"/>
      <c r="S29" s="1"/>
      <c r="T29" s="1"/>
      <c r="U29" s="93"/>
      <c r="V29" s="24">
        <f t="shared" si="3"/>
        <v>1424.3458333333333</v>
      </c>
      <c r="W29">
        <v>1714</v>
      </c>
      <c r="X29">
        <v>18</v>
      </c>
      <c r="Y29">
        <v>10</v>
      </c>
      <c r="Z29" s="28">
        <f t="shared" si="4"/>
        <v>411586</v>
      </c>
      <c r="AA29">
        <v>323</v>
      </c>
      <c r="AB29">
        <v>10</v>
      </c>
      <c r="AC29">
        <v>9</v>
      </c>
      <c r="AD29" s="28">
        <f t="shared" si="14"/>
        <v>77649</v>
      </c>
      <c r="AE29">
        <v>361</v>
      </c>
      <c r="AF29">
        <v>2</v>
      </c>
      <c r="AG29">
        <v>0</v>
      </c>
      <c r="AH29" s="27">
        <f t="shared" si="15"/>
        <v>86664</v>
      </c>
      <c r="AI29" s="107">
        <v>8</v>
      </c>
      <c r="AJ29" s="107">
        <v>8</v>
      </c>
      <c r="AK29" s="107">
        <v>0</v>
      </c>
      <c r="AL29" s="27">
        <f t="shared" si="17"/>
        <v>2016</v>
      </c>
      <c r="AM29" s="1"/>
      <c r="AN29" s="1"/>
      <c r="AO29" s="1"/>
      <c r="AP29" s="1"/>
      <c r="AQ29" s="36">
        <f t="shared" si="10"/>
        <v>2412.5541666666668</v>
      </c>
      <c r="AR29" s="1"/>
      <c r="AS29" s="1"/>
      <c r="AT29" s="1"/>
      <c r="AU29" s="1"/>
      <c r="AV29" s="116">
        <f t="shared" si="8"/>
        <v>3710.6791666666668</v>
      </c>
      <c r="AW29" s="1"/>
      <c r="AX29" s="1"/>
      <c r="AY29" s="1"/>
      <c r="AZ29">
        <f>3204+126+258+3750+258+480+4602+516+354+1110+4974+5431+4132</f>
        <v>29195</v>
      </c>
      <c r="BA29" s="1"/>
      <c r="BB29" s="1"/>
      <c r="BC29" s="1"/>
      <c r="BD29">
        <v>1098</v>
      </c>
      <c r="BE29" s="1"/>
      <c r="BF29" s="1"/>
      <c r="BG29" s="1"/>
      <c r="BH29" s="111">
        <f t="shared" si="6"/>
        <v>126.22083333333333</v>
      </c>
      <c r="BI29" s="102">
        <f t="shared" si="9"/>
        <v>3836.9</v>
      </c>
      <c r="BJ29" s="1"/>
      <c r="BK29" s="1"/>
      <c r="BL29" s="1"/>
      <c r="BM29" s="1"/>
      <c r="BN29" s="1"/>
      <c r="BO29" s="1"/>
      <c r="BP29" s="1"/>
      <c r="BQ29" s="1"/>
      <c r="BR29" s="1"/>
      <c r="BS29" s="1"/>
      <c r="BT29" s="1"/>
      <c r="BU29" s="1"/>
      <c r="BV29" s="93"/>
      <c r="BW29" s="28">
        <f t="shared" si="7"/>
        <v>3836.9</v>
      </c>
      <c r="BX29" s="128">
        <f>BW29/'RPI_1880-2010'!B28*100</f>
        <v>321887.58389261749</v>
      </c>
      <c r="BY29" t="s">
        <v>184</v>
      </c>
    </row>
    <row r="30" spans="1:77" s="9" customFormat="1" x14ac:dyDescent="0.25">
      <c r="A30" s="83">
        <v>1907</v>
      </c>
      <c r="B30">
        <v>545</v>
      </c>
      <c r="C30">
        <v>10</v>
      </c>
      <c r="D30">
        <v>6</v>
      </c>
      <c r="E30" s="27">
        <f t="shared" si="12"/>
        <v>130926</v>
      </c>
      <c r="F30">
        <v>118</v>
      </c>
      <c r="G30">
        <v>3</v>
      </c>
      <c r="H30">
        <v>10</v>
      </c>
      <c r="I30" s="27">
        <f t="shared" si="13"/>
        <v>28366</v>
      </c>
      <c r="J30">
        <v>149</v>
      </c>
      <c r="K30">
        <v>18</v>
      </c>
      <c r="L30">
        <v>7</v>
      </c>
      <c r="M30" s="27">
        <f t="shared" si="1"/>
        <v>35983</v>
      </c>
      <c r="N30">
        <v>32</v>
      </c>
      <c r="O30">
        <v>11</v>
      </c>
      <c r="P30">
        <v>3</v>
      </c>
      <c r="Q30" s="27">
        <f t="shared" si="2"/>
        <v>7815</v>
      </c>
      <c r="R30" s="93"/>
      <c r="S30" s="1"/>
      <c r="T30" s="1"/>
      <c r="U30" s="93"/>
      <c r="V30" s="24">
        <f t="shared" si="3"/>
        <v>846.20833333333337</v>
      </c>
      <c r="W30">
        <v>1136</v>
      </c>
      <c r="X30">
        <v>2</v>
      </c>
      <c r="Y30">
        <v>3</v>
      </c>
      <c r="Z30" s="28">
        <f t="shared" si="4"/>
        <v>272667</v>
      </c>
      <c r="AA30">
        <v>255</v>
      </c>
      <c r="AB30">
        <v>0</v>
      </c>
      <c r="AC30">
        <v>1</v>
      </c>
      <c r="AD30" s="28">
        <f t="shared" si="14"/>
        <v>61201</v>
      </c>
      <c r="AE30">
        <v>210</v>
      </c>
      <c r="AF30">
        <v>15</v>
      </c>
      <c r="AG30">
        <v>0</v>
      </c>
      <c r="AH30" s="27">
        <f t="shared" si="15"/>
        <v>50580</v>
      </c>
      <c r="AI30" s="107">
        <v>6</v>
      </c>
      <c r="AJ30" s="107">
        <v>10</v>
      </c>
      <c r="AK30" s="107">
        <v>6</v>
      </c>
      <c r="AL30" s="27">
        <f t="shared" si="17"/>
        <v>1566</v>
      </c>
      <c r="AM30" s="1"/>
      <c r="AN30" s="1"/>
      <c r="AO30" s="1"/>
      <c r="AP30" s="1"/>
      <c r="AQ30" s="36">
        <f t="shared" si="10"/>
        <v>1608.3916666666667</v>
      </c>
      <c r="AR30" s="1"/>
      <c r="AS30" s="1"/>
      <c r="AT30" s="1"/>
      <c r="AU30" s="1"/>
      <c r="AV30" s="116">
        <f t="shared" si="8"/>
        <v>2454.6</v>
      </c>
      <c r="AW30" s="1"/>
      <c r="AX30" s="1"/>
      <c r="AY30" s="1"/>
      <c r="AZ30" s="1"/>
      <c r="BA30" s="1"/>
      <c r="BB30" s="1"/>
      <c r="BC30" s="1"/>
      <c r="BD30" s="7"/>
      <c r="BE30" s="1"/>
      <c r="BF30" s="1"/>
      <c r="BG30" s="1"/>
      <c r="BH30" s="111">
        <f t="shared" si="6"/>
        <v>0</v>
      </c>
      <c r="BI30" s="102">
        <f t="shared" si="9"/>
        <v>2454.6</v>
      </c>
      <c r="BJ30" s="1"/>
      <c r="BK30" s="1"/>
      <c r="BL30" s="1"/>
      <c r="BM30" s="1"/>
      <c r="BN30" s="1"/>
      <c r="BO30" s="1"/>
      <c r="BP30" s="1"/>
      <c r="BQ30" s="1"/>
      <c r="BR30" s="1"/>
      <c r="BS30" s="1"/>
      <c r="BT30" s="1"/>
      <c r="BU30" s="1"/>
      <c r="BV30" s="93"/>
      <c r="BW30" s="28">
        <f t="shared" si="7"/>
        <v>2454.6</v>
      </c>
      <c r="BX30" s="128">
        <f>BW30/'RPI_1880-2010'!B29*100</f>
        <v>202524.75247524754</v>
      </c>
      <c r="BY30" t="s">
        <v>184</v>
      </c>
    </row>
    <row r="31" spans="1:77" s="9" customFormat="1" x14ac:dyDescent="0.25">
      <c r="A31" s="83">
        <v>1908</v>
      </c>
      <c r="B31">
        <v>893</v>
      </c>
      <c r="C31">
        <v>15</v>
      </c>
      <c r="D31">
        <v>3</v>
      </c>
      <c r="E31" s="27">
        <f t="shared" si="12"/>
        <v>214503</v>
      </c>
      <c r="F31">
        <v>255</v>
      </c>
      <c r="G31">
        <v>0</v>
      </c>
      <c r="H31">
        <v>2</v>
      </c>
      <c r="I31" s="27">
        <f t="shared" si="13"/>
        <v>61202</v>
      </c>
      <c r="J31">
        <v>323</v>
      </c>
      <c r="K31">
        <v>12</v>
      </c>
      <c r="L31">
        <v>0</v>
      </c>
      <c r="M31" s="27">
        <f t="shared" si="1"/>
        <v>77664</v>
      </c>
      <c r="N31">
        <v>31</v>
      </c>
      <c r="O31">
        <v>17</v>
      </c>
      <c r="P31">
        <v>6</v>
      </c>
      <c r="Q31" s="27">
        <f t="shared" si="2"/>
        <v>7650</v>
      </c>
      <c r="R31" s="93"/>
      <c r="S31" s="1"/>
      <c r="T31" s="1"/>
      <c r="U31" s="93"/>
      <c r="V31" s="24">
        <f t="shared" si="3"/>
        <v>1627.6833333333334</v>
      </c>
      <c r="W31">
        <v>893</v>
      </c>
      <c r="X31">
        <v>15</v>
      </c>
      <c r="Y31">
        <v>3</v>
      </c>
      <c r="Z31" s="28">
        <f t="shared" si="4"/>
        <v>214503</v>
      </c>
      <c r="AA31">
        <v>255</v>
      </c>
      <c r="AB31">
        <v>0</v>
      </c>
      <c r="AC31">
        <v>2</v>
      </c>
      <c r="AD31" s="28">
        <f t="shared" si="14"/>
        <v>61202</v>
      </c>
      <c r="AE31">
        <v>169</v>
      </c>
      <c r="AF31">
        <v>2</v>
      </c>
      <c r="AG31">
        <v>5</v>
      </c>
      <c r="AH31" s="27">
        <f t="shared" si="15"/>
        <v>40589</v>
      </c>
      <c r="AI31" s="107">
        <v>2</v>
      </c>
      <c r="AJ31" s="107">
        <v>18</v>
      </c>
      <c r="AK31" s="107">
        <v>6</v>
      </c>
      <c r="AL31" s="27">
        <f t="shared" si="17"/>
        <v>702</v>
      </c>
      <c r="AM31" s="1"/>
      <c r="AN31" s="1"/>
      <c r="AO31" s="1"/>
      <c r="AP31" s="1"/>
      <c r="AQ31" s="36">
        <f t="shared" si="10"/>
        <v>1438.4375</v>
      </c>
      <c r="AR31" s="1"/>
      <c r="AS31" s="1"/>
      <c r="AT31" s="1"/>
      <c r="AU31" s="1"/>
      <c r="AV31" s="116">
        <f t="shared" si="8"/>
        <v>2825.0625</v>
      </c>
      <c r="AW31">
        <v>123</v>
      </c>
      <c r="AX31">
        <v>8</v>
      </c>
      <c r="AY31">
        <v>9</v>
      </c>
      <c r="AZ31" s="9">
        <f t="shared" ref="AZ31:AZ42" si="18">AY31+(12*AX31)+(240*AW31)</f>
        <v>29625</v>
      </c>
      <c r="BA31" s="1"/>
      <c r="BB31" s="1"/>
      <c r="BC31" s="1"/>
      <c r="BD31">
        <v>28229</v>
      </c>
      <c r="BE31" s="1"/>
      <c r="BF31" s="1"/>
      <c r="BG31" s="1"/>
      <c r="BH31" s="111">
        <f t="shared" si="6"/>
        <v>241.05833333333334</v>
      </c>
      <c r="BI31" s="102">
        <f t="shared" si="9"/>
        <v>3066.1208333333334</v>
      </c>
      <c r="BJ31" s="1"/>
      <c r="BK31" s="1"/>
      <c r="BL31" s="1"/>
      <c r="BM31" s="1"/>
      <c r="BN31" s="1"/>
      <c r="BO31" s="1"/>
      <c r="BP31" s="1"/>
      <c r="BQ31" s="1"/>
      <c r="BR31" s="1"/>
      <c r="BS31" s="1"/>
      <c r="BT31" s="1"/>
      <c r="BU31" s="1"/>
      <c r="BV31" s="93"/>
      <c r="BW31" s="28">
        <f t="shared" si="7"/>
        <v>3066.1208333333334</v>
      </c>
      <c r="BX31" s="128">
        <f>BW31/'RPI_1880-2010'!B30*100</f>
        <v>249684.10694896852</v>
      </c>
      <c r="BY31" t="s">
        <v>185</v>
      </c>
    </row>
    <row r="32" spans="1:77" s="9" customFormat="1" x14ac:dyDescent="0.25">
      <c r="A32" s="83">
        <v>1909</v>
      </c>
      <c r="B32" s="106">
        <v>426</v>
      </c>
      <c r="C32" s="106">
        <v>19</v>
      </c>
      <c r="D32" s="106">
        <v>3</v>
      </c>
      <c r="E32" s="27">
        <f t="shared" si="12"/>
        <v>102471</v>
      </c>
      <c r="F32" s="106">
        <v>117</v>
      </c>
      <c r="G32" s="106">
        <v>1</v>
      </c>
      <c r="H32" s="106">
        <v>9</v>
      </c>
      <c r="I32" s="27">
        <f t="shared" si="13"/>
        <v>28101</v>
      </c>
      <c r="J32" s="106">
        <v>199</v>
      </c>
      <c r="K32" s="106">
        <v>19</v>
      </c>
      <c r="L32" s="106">
        <v>10</v>
      </c>
      <c r="M32" s="27">
        <f t="shared" si="1"/>
        <v>47998</v>
      </c>
      <c r="N32" s="106">
        <v>17</v>
      </c>
      <c r="O32" s="106">
        <v>4</v>
      </c>
      <c r="P32" s="106">
        <v>0</v>
      </c>
      <c r="Q32" s="27">
        <f t="shared" si="2"/>
        <v>4128</v>
      </c>
      <c r="R32" s="93"/>
      <c r="S32" s="1"/>
      <c r="T32" s="1"/>
      <c r="U32" s="93"/>
      <c r="V32" s="24">
        <f t="shared" si="3"/>
        <v>866.92083333333335</v>
      </c>
      <c r="W32">
        <v>727</v>
      </c>
      <c r="X32">
        <v>8</v>
      </c>
      <c r="Y32">
        <v>9</v>
      </c>
      <c r="Z32" s="28">
        <f t="shared" si="4"/>
        <v>174585</v>
      </c>
      <c r="AA32">
        <v>223</v>
      </c>
      <c r="AB32">
        <v>2</v>
      </c>
      <c r="AC32">
        <v>8</v>
      </c>
      <c r="AD32" s="28">
        <f t="shared" si="14"/>
        <v>53552</v>
      </c>
      <c r="AE32">
        <v>187</v>
      </c>
      <c r="AF32">
        <v>6</v>
      </c>
      <c r="AG32">
        <v>5</v>
      </c>
      <c r="AH32" s="27">
        <f t="shared" si="15"/>
        <v>44957</v>
      </c>
      <c r="AI32">
        <v>1</v>
      </c>
      <c r="AJ32">
        <v>1</v>
      </c>
      <c r="AK32">
        <v>6</v>
      </c>
      <c r="AL32" s="28">
        <f t="shared" ref="AL32:AL42" si="19">(AI32*240)+(AJ32*12)+AK32</f>
        <v>258</v>
      </c>
      <c r="AM32" s="1"/>
      <c r="AN32" s="1"/>
      <c r="AO32" s="1"/>
      <c r="AP32" s="1"/>
      <c r="AQ32" s="36">
        <f t="shared" si="10"/>
        <v>1259.5374999999999</v>
      </c>
      <c r="AR32" s="1"/>
      <c r="AS32" s="1"/>
      <c r="AT32" s="1"/>
      <c r="AU32" s="1"/>
      <c r="AV32" s="116">
        <f t="shared" si="8"/>
        <v>1900.208333333333</v>
      </c>
      <c r="AW32" s="106">
        <v>105</v>
      </c>
      <c r="AX32" s="106">
        <v>13</v>
      </c>
      <c r="AY32" s="106">
        <v>7</v>
      </c>
      <c r="AZ32" s="9">
        <f t="shared" si="18"/>
        <v>25363</v>
      </c>
      <c r="BA32" s="1"/>
      <c r="BB32" s="1"/>
      <c r="BC32" s="1"/>
      <c r="BD32">
        <v>28937</v>
      </c>
      <c r="BE32" s="1"/>
      <c r="BF32" s="1"/>
      <c r="BG32" s="1"/>
      <c r="BH32" s="111">
        <f t="shared" si="6"/>
        <v>226.25</v>
      </c>
      <c r="BI32" s="102">
        <f t="shared" si="9"/>
        <v>2126.458333333333</v>
      </c>
      <c r="BJ32" s="1"/>
      <c r="BK32" s="1"/>
      <c r="BL32" s="1"/>
      <c r="BM32" s="1"/>
      <c r="BN32" s="1"/>
      <c r="BO32" s="1"/>
      <c r="BP32" s="1"/>
      <c r="BQ32" s="1"/>
      <c r="BR32" s="1"/>
      <c r="BS32" s="1"/>
      <c r="BT32" s="1"/>
      <c r="BU32" s="1"/>
      <c r="BV32" s="93"/>
      <c r="BW32" s="28">
        <f t="shared" si="7"/>
        <v>2126.458333333333</v>
      </c>
      <c r="BX32" s="128">
        <f>BW32/'RPI_1880-2010'!B31*100</f>
        <v>172882.79132791326</v>
      </c>
      <c r="BY32" t="s">
        <v>186</v>
      </c>
    </row>
    <row r="33" spans="1:77" s="9" customFormat="1" x14ac:dyDescent="0.25">
      <c r="A33" s="83">
        <v>1910</v>
      </c>
      <c r="B33" s="106">
        <v>381</v>
      </c>
      <c r="C33" s="106">
        <v>10</v>
      </c>
      <c r="D33" s="106">
        <v>11</v>
      </c>
      <c r="E33" s="27">
        <f t="shared" si="12"/>
        <v>91571</v>
      </c>
      <c r="F33" s="106">
        <v>92</v>
      </c>
      <c r="G33" s="106">
        <v>8</v>
      </c>
      <c r="H33" s="106">
        <v>10</v>
      </c>
      <c r="I33" s="27">
        <f t="shared" si="13"/>
        <v>22186</v>
      </c>
      <c r="J33" s="106">
        <v>133</v>
      </c>
      <c r="K33" s="106">
        <v>4</v>
      </c>
      <c r="L33" s="106">
        <v>5</v>
      </c>
      <c r="M33" s="27">
        <f t="shared" si="1"/>
        <v>31973</v>
      </c>
      <c r="N33" s="106">
        <v>41</v>
      </c>
      <c r="O33" s="106">
        <v>11</v>
      </c>
      <c r="P33" s="106">
        <v>0</v>
      </c>
      <c r="Q33" s="27">
        <f t="shared" si="2"/>
        <v>9972</v>
      </c>
      <c r="R33" s="93"/>
      <c r="S33" s="1"/>
      <c r="T33" s="1"/>
      <c r="U33" s="93"/>
      <c r="V33" s="24">
        <f t="shared" si="3"/>
        <v>733.42916666666667</v>
      </c>
      <c r="W33">
        <v>1005</v>
      </c>
      <c r="X33">
        <v>10</v>
      </c>
      <c r="Y33">
        <v>1</v>
      </c>
      <c r="Z33" s="28">
        <f t="shared" si="4"/>
        <v>241321</v>
      </c>
      <c r="AA33">
        <v>239</v>
      </c>
      <c r="AB33">
        <v>1</v>
      </c>
      <c r="AC33">
        <v>6</v>
      </c>
      <c r="AD33" s="28">
        <f t="shared" si="14"/>
        <v>57378</v>
      </c>
      <c r="AE33">
        <v>243</v>
      </c>
      <c r="AF33">
        <v>9</v>
      </c>
      <c r="AG33">
        <v>6</v>
      </c>
      <c r="AH33" s="27">
        <f t="shared" si="15"/>
        <v>58434</v>
      </c>
      <c r="AI33">
        <v>3</v>
      </c>
      <c r="AJ33">
        <v>12</v>
      </c>
      <c r="AK33">
        <v>6</v>
      </c>
      <c r="AL33" s="28">
        <f t="shared" si="19"/>
        <v>870</v>
      </c>
      <c r="AM33" s="99">
        <v>1698</v>
      </c>
      <c r="AN33" s="99">
        <v>11</v>
      </c>
      <c r="AO33" s="99">
        <v>11</v>
      </c>
      <c r="AP33" s="24">
        <f>((240*AM33)+(12*AN33)+AO33)/240</f>
        <v>1698.5958333333333</v>
      </c>
      <c r="AQ33" s="36">
        <f t="shared" si="10"/>
        <v>1698.5958333333333</v>
      </c>
      <c r="AR33" s="99">
        <f>64+66</f>
        <v>130</v>
      </c>
      <c r="AS33" s="99">
        <f>10+13</f>
        <v>23</v>
      </c>
      <c r="AT33" s="99">
        <f>2+4</f>
        <v>6</v>
      </c>
      <c r="AU33" s="36">
        <f>((240*AR33)+(12*AS33)+AT33)/240</f>
        <v>131.17500000000001</v>
      </c>
      <c r="AV33" s="116">
        <f t="shared" si="8"/>
        <v>2478.5291666666667</v>
      </c>
      <c r="AW33" s="106">
        <v>84</v>
      </c>
      <c r="AX33" s="106">
        <v>13</v>
      </c>
      <c r="AY33" s="106">
        <v>5</v>
      </c>
      <c r="AZ33" s="9">
        <f t="shared" si="18"/>
        <v>20321</v>
      </c>
      <c r="BA33" s="99">
        <v>206</v>
      </c>
      <c r="BB33" s="99">
        <v>18</v>
      </c>
      <c r="BC33" s="99">
        <v>4</v>
      </c>
      <c r="BD33">
        <f t="shared" ref="BD33:BD42" si="20">(BA33*240)+(BB33*12)+BC33</f>
        <v>49660</v>
      </c>
      <c r="BE33"/>
      <c r="BF33" s="1"/>
      <c r="BG33" s="1"/>
      <c r="BH33" s="111">
        <f>(AZ33+BE33)/240</f>
        <v>84.670833333333334</v>
      </c>
      <c r="BI33" s="102">
        <f t="shared" si="9"/>
        <v>2563.1999999999998</v>
      </c>
      <c r="BJ33" s="1"/>
      <c r="BK33" s="1"/>
      <c r="BL33" s="1"/>
      <c r="BM33" s="1"/>
      <c r="BN33" s="1"/>
      <c r="BO33" s="1"/>
      <c r="BP33" s="1"/>
      <c r="BQ33" s="1"/>
      <c r="BR33" s="1"/>
      <c r="BS33" s="99">
        <v>2563</v>
      </c>
      <c r="BT33" s="99">
        <v>4</v>
      </c>
      <c r="BU33" s="99">
        <v>0</v>
      </c>
      <c r="BV33" s="28">
        <f t="shared" ref="BV33" si="21">((240*BS33)+(12*BT33)+BU33)/240</f>
        <v>2563.1999999999998</v>
      </c>
      <c r="BW33" s="28">
        <f t="shared" si="7"/>
        <v>2563.1999999999998</v>
      </c>
      <c r="BX33" s="128">
        <f>BW33/'RPI_1880-2010'!B32*100</f>
        <v>204076.4331210191</v>
      </c>
      <c r="BY33" t="s">
        <v>184</v>
      </c>
    </row>
    <row r="34" spans="1:77" s="9" customFormat="1" x14ac:dyDescent="0.25">
      <c r="A34" s="83">
        <v>1911</v>
      </c>
      <c r="B34" s="106">
        <v>375</v>
      </c>
      <c r="C34" s="106">
        <v>19</v>
      </c>
      <c r="D34" s="106">
        <v>0</v>
      </c>
      <c r="E34" s="27">
        <f t="shared" si="12"/>
        <v>90228</v>
      </c>
      <c r="F34" s="106">
        <v>123</v>
      </c>
      <c r="G34" s="106">
        <v>5</v>
      </c>
      <c r="H34" s="106">
        <v>0</v>
      </c>
      <c r="I34" s="27">
        <f t="shared" si="13"/>
        <v>29580</v>
      </c>
      <c r="J34" s="106">
        <v>235</v>
      </c>
      <c r="K34" s="106">
        <v>2</v>
      </c>
      <c r="L34" s="106">
        <v>5</v>
      </c>
      <c r="M34" s="27">
        <f t="shared" si="1"/>
        <v>56429</v>
      </c>
      <c r="N34" s="106">
        <v>31</v>
      </c>
      <c r="O34" s="106">
        <v>16</v>
      </c>
      <c r="P34" s="106">
        <v>6</v>
      </c>
      <c r="Q34" s="27">
        <f t="shared" si="2"/>
        <v>7638</v>
      </c>
      <c r="R34" s="93"/>
      <c r="S34" s="1"/>
      <c r="T34" s="1"/>
      <c r="U34" s="93"/>
      <c r="V34" s="24">
        <f t="shared" si="3"/>
        <v>860.82500000000005</v>
      </c>
      <c r="W34">
        <v>908</v>
      </c>
      <c r="X34">
        <v>1</v>
      </c>
      <c r="Y34">
        <v>4</v>
      </c>
      <c r="Z34" s="28">
        <f t="shared" si="4"/>
        <v>217936</v>
      </c>
      <c r="AA34">
        <v>224</v>
      </c>
      <c r="AB34">
        <v>14</v>
      </c>
      <c r="AC34">
        <v>7</v>
      </c>
      <c r="AD34" s="28">
        <f t="shared" si="14"/>
        <v>53935</v>
      </c>
      <c r="AE34">
        <v>337</v>
      </c>
      <c r="AF34">
        <v>11</v>
      </c>
      <c r="AG34">
        <v>1</v>
      </c>
      <c r="AH34" s="27">
        <f t="shared" si="15"/>
        <v>81013</v>
      </c>
      <c r="AI34">
        <v>2</v>
      </c>
      <c r="AJ34">
        <v>18</v>
      </c>
      <c r="AK34">
        <v>3</v>
      </c>
      <c r="AL34" s="28">
        <f t="shared" si="19"/>
        <v>699</v>
      </c>
      <c r="AM34" s="1"/>
      <c r="AN34" s="1"/>
      <c r="AO34" s="1"/>
      <c r="AP34" s="1"/>
      <c r="AQ34" s="36">
        <f t="shared" si="10"/>
        <v>1656.8416666666667</v>
      </c>
      <c r="AR34" s="1"/>
      <c r="AS34" s="1"/>
      <c r="AT34" s="1"/>
      <c r="AU34" s="1"/>
      <c r="AV34" s="116">
        <f t="shared" si="8"/>
        <v>2239.4083333333338</v>
      </c>
      <c r="AW34" s="106">
        <v>94</v>
      </c>
      <c r="AX34" s="106">
        <v>13</v>
      </c>
      <c r="AY34" s="106">
        <v>7</v>
      </c>
      <c r="AZ34" s="9">
        <f t="shared" si="18"/>
        <v>22723</v>
      </c>
      <c r="BA34">
        <v>183</v>
      </c>
      <c r="BB34">
        <v>11</v>
      </c>
      <c r="BC34">
        <v>7</v>
      </c>
      <c r="BD34">
        <f t="shared" si="20"/>
        <v>44059</v>
      </c>
      <c r="BE34" s="1"/>
      <c r="BF34" s="1"/>
      <c r="BG34" s="1"/>
      <c r="BH34" s="111">
        <f t="shared" si="6"/>
        <v>278.25833333333333</v>
      </c>
      <c r="BI34" s="102">
        <f t="shared" si="9"/>
        <v>2517.666666666667</v>
      </c>
      <c r="BJ34" s="1"/>
      <c r="BK34" s="1"/>
      <c r="BL34" s="1"/>
      <c r="BM34" s="1"/>
      <c r="BN34" s="1"/>
      <c r="BO34" s="1"/>
      <c r="BP34" s="1"/>
      <c r="BQ34" s="1"/>
      <c r="BR34" s="1"/>
      <c r="BS34" s="1"/>
      <c r="BT34" s="1"/>
      <c r="BU34" s="1"/>
      <c r="BV34" s="93"/>
      <c r="BW34" s="28">
        <f t="shared" si="7"/>
        <v>2517.666666666667</v>
      </c>
      <c r="BX34" s="128">
        <f>BW34/'RPI_1880-2010'!B33*100</f>
        <v>199973.52396081551</v>
      </c>
      <c r="BY34" t="s">
        <v>10</v>
      </c>
    </row>
    <row r="35" spans="1:77" s="9" customFormat="1" x14ac:dyDescent="0.25">
      <c r="A35" s="83">
        <v>1912</v>
      </c>
      <c r="B35" s="106">
        <v>349</v>
      </c>
      <c r="C35" s="106">
        <v>13</v>
      </c>
      <c r="D35" s="106">
        <v>9</v>
      </c>
      <c r="E35" s="27">
        <f t="shared" si="12"/>
        <v>83925</v>
      </c>
      <c r="F35" s="106">
        <v>86</v>
      </c>
      <c r="G35" s="106">
        <v>5</v>
      </c>
      <c r="H35" s="106">
        <v>6</v>
      </c>
      <c r="I35" s="27">
        <f t="shared" si="13"/>
        <v>20706</v>
      </c>
      <c r="J35" s="106">
        <v>154</v>
      </c>
      <c r="K35" s="106">
        <v>5</v>
      </c>
      <c r="L35" s="106">
        <v>9</v>
      </c>
      <c r="M35" s="27">
        <f t="shared" si="1"/>
        <v>37029</v>
      </c>
      <c r="N35" s="106">
        <v>31</v>
      </c>
      <c r="O35" s="106">
        <v>16</v>
      </c>
      <c r="P35" s="106">
        <v>3</v>
      </c>
      <c r="Q35" s="27">
        <f t="shared" si="2"/>
        <v>7635</v>
      </c>
      <c r="R35" s="93"/>
      <c r="S35" s="1"/>
      <c r="T35" s="1"/>
      <c r="U35" s="93"/>
      <c r="V35" s="24">
        <f t="shared" si="3"/>
        <v>713.53750000000002</v>
      </c>
      <c r="W35">
        <v>1023</v>
      </c>
      <c r="X35">
        <v>14</v>
      </c>
      <c r="Y35">
        <v>3</v>
      </c>
      <c r="Z35" s="28">
        <f t="shared" si="4"/>
        <v>245691</v>
      </c>
      <c r="AA35">
        <v>256</v>
      </c>
      <c r="AB35">
        <v>12</v>
      </c>
      <c r="AC35">
        <v>1</v>
      </c>
      <c r="AD35" s="28">
        <f t="shared" si="14"/>
        <v>61585</v>
      </c>
      <c r="AE35">
        <v>308</v>
      </c>
      <c r="AF35">
        <v>5</v>
      </c>
      <c r="AG35">
        <v>11</v>
      </c>
      <c r="AH35" s="27">
        <f t="shared" si="15"/>
        <v>73991</v>
      </c>
      <c r="AI35">
        <v>5</v>
      </c>
      <c r="AJ35">
        <v>12</v>
      </c>
      <c r="AK35">
        <v>6</v>
      </c>
      <c r="AL35" s="28">
        <f t="shared" si="19"/>
        <v>1350</v>
      </c>
      <c r="AM35" s="1"/>
      <c r="AN35" s="1"/>
      <c r="AO35" s="1"/>
      <c r="AP35" s="1"/>
      <c r="AQ35" s="36">
        <f t="shared" si="10"/>
        <v>1800.1041666666667</v>
      </c>
      <c r="AR35" s="1"/>
      <c r="AS35" s="1"/>
      <c r="AT35" s="1"/>
      <c r="AU35" s="1"/>
      <c r="AV35" s="116">
        <f t="shared" si="8"/>
        <v>2216.3000000000002</v>
      </c>
      <c r="AW35" s="106">
        <v>91</v>
      </c>
      <c r="AX35" s="106">
        <v>9</v>
      </c>
      <c r="AY35" s="106">
        <v>6</v>
      </c>
      <c r="AZ35" s="9">
        <f t="shared" si="18"/>
        <v>21954</v>
      </c>
      <c r="BA35">
        <v>205</v>
      </c>
      <c r="BB35">
        <v>17</v>
      </c>
      <c r="BC35">
        <v>4</v>
      </c>
      <c r="BD35">
        <f t="shared" si="20"/>
        <v>49408</v>
      </c>
      <c r="BE35" s="1"/>
      <c r="BF35" s="1"/>
      <c r="BG35" s="1"/>
      <c r="BH35" s="111">
        <f t="shared" si="6"/>
        <v>297.34166666666664</v>
      </c>
      <c r="BI35" s="102">
        <f t="shared" si="9"/>
        <v>2513.6416666666669</v>
      </c>
      <c r="BJ35" s="1"/>
      <c r="BK35" s="1"/>
      <c r="BL35" s="1"/>
      <c r="BM35" s="1"/>
      <c r="BN35" s="1"/>
      <c r="BO35" s="1"/>
      <c r="BP35" s="1"/>
      <c r="BQ35" s="1"/>
      <c r="BR35" s="1"/>
      <c r="BS35" s="1"/>
      <c r="BT35" s="1"/>
      <c r="BU35" s="1"/>
      <c r="BV35" s="93"/>
      <c r="BW35" s="28">
        <f t="shared" si="7"/>
        <v>2513.6416666666669</v>
      </c>
      <c r="BX35" s="128">
        <f>BW35/'RPI_1880-2010'!B34*100</f>
        <v>194103.60360360361</v>
      </c>
      <c r="BY35" t="s">
        <v>187</v>
      </c>
    </row>
    <row r="36" spans="1:77" s="9" customFormat="1" x14ac:dyDescent="0.25">
      <c r="A36" s="83">
        <v>1913</v>
      </c>
      <c r="B36">
        <v>506</v>
      </c>
      <c r="C36">
        <v>13</v>
      </c>
      <c r="D36">
        <v>0</v>
      </c>
      <c r="E36" s="27">
        <f t="shared" si="12"/>
        <v>121596</v>
      </c>
      <c r="F36">
        <v>147</v>
      </c>
      <c r="G36">
        <v>18</v>
      </c>
      <c r="H36">
        <v>0</v>
      </c>
      <c r="I36" s="27">
        <f t="shared" si="13"/>
        <v>35496</v>
      </c>
      <c r="J36">
        <v>155</v>
      </c>
      <c r="K36">
        <v>0</v>
      </c>
      <c r="L36">
        <v>6</v>
      </c>
      <c r="M36" s="27">
        <f t="shared" si="1"/>
        <v>37206</v>
      </c>
      <c r="N36">
        <v>0</v>
      </c>
      <c r="O36">
        <v>4</v>
      </c>
      <c r="P36">
        <v>9</v>
      </c>
      <c r="Q36" s="27">
        <f t="shared" si="2"/>
        <v>57</v>
      </c>
      <c r="R36" s="93"/>
      <c r="S36" s="1"/>
      <c r="T36" s="1"/>
      <c r="U36" s="93"/>
      <c r="V36" s="24">
        <f t="shared" si="3"/>
        <v>878.2</v>
      </c>
      <c r="W36">
        <v>1083</v>
      </c>
      <c r="X36">
        <v>0</v>
      </c>
      <c r="Y36">
        <v>7</v>
      </c>
      <c r="Z36" s="28">
        <f t="shared" si="4"/>
        <v>259927</v>
      </c>
      <c r="AA36">
        <v>270</v>
      </c>
      <c r="AB36">
        <v>19</v>
      </c>
      <c r="AC36">
        <v>0</v>
      </c>
      <c r="AD36" s="28">
        <f t="shared" si="14"/>
        <v>65028</v>
      </c>
      <c r="AE36">
        <v>401</v>
      </c>
      <c r="AF36">
        <v>15</v>
      </c>
      <c r="AG36">
        <v>11</v>
      </c>
      <c r="AH36" s="27">
        <f t="shared" si="15"/>
        <v>96431</v>
      </c>
      <c r="AI36">
        <v>7</v>
      </c>
      <c r="AJ36">
        <v>18</v>
      </c>
      <c r="AK36">
        <v>10</v>
      </c>
      <c r="AL36" s="28">
        <f t="shared" si="19"/>
        <v>1906</v>
      </c>
      <c r="AM36" s="1"/>
      <c r="AN36" s="1"/>
      <c r="AO36" s="1"/>
      <c r="AP36" s="1"/>
      <c r="AQ36" s="36">
        <f t="shared" si="10"/>
        <v>1977.6375</v>
      </c>
      <c r="AR36" s="1"/>
      <c r="AS36" s="1"/>
      <c r="AT36" s="1"/>
      <c r="AU36" s="1"/>
      <c r="AV36" s="116">
        <f t="shared" si="8"/>
        <v>2573.5291666666667</v>
      </c>
      <c r="AW36">
        <v>68</v>
      </c>
      <c r="AX36">
        <v>7</v>
      </c>
      <c r="AY36">
        <v>9</v>
      </c>
      <c r="AZ36" s="9">
        <f t="shared" si="18"/>
        <v>16413</v>
      </c>
      <c r="BA36">
        <v>213</v>
      </c>
      <c r="BB36">
        <v>18</v>
      </c>
      <c r="BC36">
        <v>5</v>
      </c>
      <c r="BD36">
        <f t="shared" si="20"/>
        <v>51341</v>
      </c>
      <c r="BE36" s="1"/>
      <c r="BF36" s="1"/>
      <c r="BG36" s="1"/>
      <c r="BH36" s="111">
        <f t="shared" si="6"/>
        <v>282.30833333333334</v>
      </c>
      <c r="BI36" s="102">
        <f t="shared" si="9"/>
        <v>2855.8375000000001</v>
      </c>
      <c r="BJ36" s="1"/>
      <c r="BK36" s="1"/>
      <c r="BL36" s="1"/>
      <c r="BM36" s="1"/>
      <c r="BN36" s="1"/>
      <c r="BO36" s="1"/>
      <c r="BP36" s="1"/>
      <c r="BQ36" s="1"/>
      <c r="BR36" s="1"/>
      <c r="BS36" s="1"/>
      <c r="BT36" s="1"/>
      <c r="BU36" s="1"/>
      <c r="BV36" s="93"/>
      <c r="BW36" s="28">
        <f t="shared" si="7"/>
        <v>2855.8375000000001</v>
      </c>
      <c r="BX36" s="128">
        <f>BW36/'RPI_1880-2010'!B35*100</f>
        <v>219174.02148887186</v>
      </c>
      <c r="BY36" t="s">
        <v>187</v>
      </c>
    </row>
    <row r="37" spans="1:77" s="9" customFormat="1" x14ac:dyDescent="0.25">
      <c r="A37" s="83">
        <v>1914</v>
      </c>
      <c r="B37">
        <v>614</v>
      </c>
      <c r="C37">
        <v>1</v>
      </c>
      <c r="D37">
        <v>3</v>
      </c>
      <c r="E37" s="27">
        <f t="shared" si="12"/>
        <v>147375</v>
      </c>
      <c r="F37">
        <v>151</v>
      </c>
      <c r="G37">
        <v>12</v>
      </c>
      <c r="H37">
        <v>0</v>
      </c>
      <c r="I37" s="27">
        <f t="shared" si="13"/>
        <v>36384</v>
      </c>
      <c r="J37">
        <v>420</v>
      </c>
      <c r="K37">
        <v>9</v>
      </c>
      <c r="L37">
        <v>0</v>
      </c>
      <c r="M37" s="27">
        <f t="shared" si="1"/>
        <v>100908</v>
      </c>
      <c r="N37">
        <v>31</v>
      </c>
      <c r="O37">
        <v>14</v>
      </c>
      <c r="P37">
        <v>0</v>
      </c>
      <c r="Q37" s="27">
        <f t="shared" si="2"/>
        <v>7608</v>
      </c>
      <c r="R37" s="93"/>
      <c r="S37" s="1"/>
      <c r="T37" s="1"/>
      <c r="U37" s="93"/>
      <c r="V37" s="24">
        <f t="shared" si="3"/>
        <v>1332.9791666666667</v>
      </c>
      <c r="W37">
        <v>1085</v>
      </c>
      <c r="X37">
        <v>11</v>
      </c>
      <c r="Y37">
        <v>1</v>
      </c>
      <c r="Z37" s="28">
        <f t="shared" si="4"/>
        <v>260533</v>
      </c>
      <c r="AA37">
        <v>151</v>
      </c>
      <c r="AB37">
        <v>12</v>
      </c>
      <c r="AC37">
        <v>0</v>
      </c>
      <c r="AD37" s="28">
        <f t="shared" si="14"/>
        <v>36384</v>
      </c>
      <c r="AE37">
        <v>420</v>
      </c>
      <c r="AF37">
        <v>9</v>
      </c>
      <c r="AG37">
        <v>0</v>
      </c>
      <c r="AH37" s="27">
        <f t="shared" si="15"/>
        <v>100908</v>
      </c>
      <c r="AI37">
        <v>31</v>
      </c>
      <c r="AJ37">
        <v>14</v>
      </c>
      <c r="AK37">
        <v>0</v>
      </c>
      <c r="AL37" s="28">
        <f t="shared" si="19"/>
        <v>7608</v>
      </c>
      <c r="AM37" s="1"/>
      <c r="AN37" s="1"/>
      <c r="AO37" s="1"/>
      <c r="AP37" s="1"/>
      <c r="AQ37" s="36">
        <f t="shared" si="10"/>
        <v>1804.4708333333333</v>
      </c>
      <c r="AR37" s="1"/>
      <c r="AS37" s="1"/>
      <c r="AT37" s="1"/>
      <c r="AU37" s="1"/>
      <c r="AV37" s="116">
        <f t="shared" si="8"/>
        <v>2907.1166666666663</v>
      </c>
      <c r="AW37">
        <v>115</v>
      </c>
      <c r="AX37">
        <v>3</v>
      </c>
      <c r="AY37">
        <v>4</v>
      </c>
      <c r="AZ37" s="9">
        <f t="shared" si="18"/>
        <v>27640</v>
      </c>
      <c r="BA37">
        <v>115</v>
      </c>
      <c r="BB37">
        <v>3</v>
      </c>
      <c r="BC37">
        <v>4</v>
      </c>
      <c r="BD37">
        <f t="shared" si="20"/>
        <v>27640</v>
      </c>
      <c r="BE37" s="1"/>
      <c r="BF37" s="1"/>
      <c r="BG37" s="1"/>
      <c r="BH37" s="111">
        <f t="shared" si="6"/>
        <v>230.33333333333334</v>
      </c>
      <c r="BI37" s="102">
        <f t="shared" si="9"/>
        <v>3137.45</v>
      </c>
      <c r="BJ37" s="1"/>
      <c r="BK37" s="1"/>
      <c r="BL37" s="1"/>
      <c r="BM37" s="1"/>
      <c r="BN37" s="1"/>
      <c r="BO37" s="1"/>
      <c r="BP37" s="1"/>
      <c r="BQ37" s="1"/>
      <c r="BR37" s="1"/>
      <c r="BS37" s="1"/>
      <c r="BT37" s="1"/>
      <c r="BU37" s="1"/>
      <c r="BV37" s="93"/>
      <c r="BW37" s="28">
        <f t="shared" si="7"/>
        <v>3137.45</v>
      </c>
      <c r="BX37" s="128">
        <f>BW37/'RPI_1880-2010'!B36*100</f>
        <v>234839.07185628742</v>
      </c>
      <c r="BY37" t="s">
        <v>187</v>
      </c>
    </row>
    <row r="38" spans="1:77" s="9" customFormat="1" x14ac:dyDescent="0.25">
      <c r="A38" s="83">
        <v>1915</v>
      </c>
      <c r="B38">
        <v>650</v>
      </c>
      <c r="C38">
        <v>10</v>
      </c>
      <c r="D38">
        <v>6</v>
      </c>
      <c r="E38" s="27">
        <f t="shared" si="12"/>
        <v>156126</v>
      </c>
      <c r="F38">
        <v>123</v>
      </c>
      <c r="G38">
        <v>5</v>
      </c>
      <c r="H38">
        <v>0</v>
      </c>
      <c r="I38" s="27">
        <f t="shared" si="13"/>
        <v>29580</v>
      </c>
      <c r="J38">
        <v>260</v>
      </c>
      <c r="K38">
        <v>9</v>
      </c>
      <c r="L38">
        <v>9</v>
      </c>
      <c r="M38" s="27">
        <f t="shared" si="1"/>
        <v>62517</v>
      </c>
      <c r="N38">
        <v>32</v>
      </c>
      <c r="O38">
        <v>4</v>
      </c>
      <c r="P38">
        <v>9</v>
      </c>
      <c r="Q38" s="27">
        <f t="shared" si="2"/>
        <v>7737</v>
      </c>
      <c r="R38" s="110">
        <v>1195</v>
      </c>
      <c r="S38" s="99">
        <v>4</v>
      </c>
      <c r="T38" s="99">
        <v>4</v>
      </c>
      <c r="U38" s="24">
        <f>((240*R38)+(12*S38)+T38)/240</f>
        <v>1195.2166666666667</v>
      </c>
      <c r="V38" s="24">
        <f t="shared" ref="V38:V42" si="22">(I38+E38+M38+Q38+AZ38)/240</f>
        <v>1195.2166666666667</v>
      </c>
      <c r="W38">
        <v>676</v>
      </c>
      <c r="X38">
        <v>5</v>
      </c>
      <c r="Y38">
        <v>1</v>
      </c>
      <c r="Z38" s="28">
        <f t="shared" si="4"/>
        <v>162301</v>
      </c>
      <c r="AA38">
        <v>119</v>
      </c>
      <c r="AB38">
        <v>10</v>
      </c>
      <c r="AC38">
        <v>9</v>
      </c>
      <c r="AD38" s="28">
        <f t="shared" si="14"/>
        <v>28689</v>
      </c>
      <c r="AE38">
        <v>149</v>
      </c>
      <c r="AF38">
        <v>11</v>
      </c>
      <c r="AG38">
        <v>3</v>
      </c>
      <c r="AH38" s="27">
        <f t="shared" si="15"/>
        <v>35895</v>
      </c>
      <c r="AI38">
        <v>12</v>
      </c>
      <c r="AJ38">
        <v>12</v>
      </c>
      <c r="AK38">
        <v>6</v>
      </c>
      <c r="AL38" s="28">
        <f t="shared" si="19"/>
        <v>3030</v>
      </c>
      <c r="AM38" s="99">
        <v>1070</v>
      </c>
      <c r="AN38" s="99">
        <v>10</v>
      </c>
      <c r="AO38" s="99">
        <v>5</v>
      </c>
      <c r="AP38" s="24">
        <f>((240*AM38)+(12*AN38)+AO38)/240</f>
        <v>1070.5208333333333</v>
      </c>
      <c r="AQ38" s="36">
        <f t="shared" si="10"/>
        <v>1070.5208333333333</v>
      </c>
      <c r="AR38" s="99">
        <v>72</v>
      </c>
      <c r="AS38" s="99">
        <v>3</v>
      </c>
      <c r="AT38" s="99">
        <v>9</v>
      </c>
      <c r="AU38" s="36">
        <f>((240*AR38)+(12*AS38)+AT38)/240</f>
        <v>72.1875</v>
      </c>
      <c r="AV38" s="116">
        <f t="shared" si="8"/>
        <v>2096.666666666667</v>
      </c>
      <c r="AW38">
        <v>128</v>
      </c>
      <c r="AX38">
        <v>14</v>
      </c>
      <c r="AY38">
        <v>4</v>
      </c>
      <c r="AZ38" s="9">
        <f t="shared" si="18"/>
        <v>30892</v>
      </c>
      <c r="BA38">
        <v>112</v>
      </c>
      <c r="BB38">
        <v>10</v>
      </c>
      <c r="BC38">
        <v>10</v>
      </c>
      <c r="BD38">
        <f t="shared" si="20"/>
        <v>27010</v>
      </c>
      <c r="BE38" s="1"/>
      <c r="BF38" s="1"/>
      <c r="BG38" s="1"/>
      <c r="BH38" s="111">
        <f t="shared" si="6"/>
        <v>241.25833333333333</v>
      </c>
      <c r="BI38" s="102">
        <f t="shared" si="9"/>
        <v>2337.9250000000002</v>
      </c>
      <c r="BJ38" s="1"/>
      <c r="BK38" s="1"/>
      <c r="BL38" s="1"/>
      <c r="BM38" s="1"/>
      <c r="BN38" s="1"/>
      <c r="BO38" s="1"/>
      <c r="BP38" s="1"/>
      <c r="BQ38" s="1"/>
      <c r="BR38" s="1"/>
      <c r="BS38" s="1"/>
      <c r="BT38" s="1"/>
      <c r="BU38" s="1"/>
      <c r="BV38" s="93"/>
      <c r="BW38" s="28">
        <f t="shared" si="7"/>
        <v>2337.9250000000002</v>
      </c>
      <c r="BX38" s="128">
        <f>BW38/'RPI_1880-2010'!B37*100</f>
        <v>146120.3125</v>
      </c>
      <c r="BY38" t="s">
        <v>187</v>
      </c>
    </row>
    <row r="39" spans="1:77" s="9" customFormat="1" x14ac:dyDescent="0.25">
      <c r="A39" s="83">
        <v>1916</v>
      </c>
      <c r="B39">
        <v>687</v>
      </c>
      <c r="C39">
        <v>19</v>
      </c>
      <c r="D39">
        <v>0</v>
      </c>
      <c r="E39" s="27">
        <f t="shared" si="12"/>
        <v>165108</v>
      </c>
      <c r="F39">
        <v>166</v>
      </c>
      <c r="G39">
        <v>10</v>
      </c>
      <c r="H39">
        <v>10</v>
      </c>
      <c r="I39" s="27">
        <f t="shared" si="13"/>
        <v>39970</v>
      </c>
      <c r="J39">
        <v>370</v>
      </c>
      <c r="K39">
        <v>0</v>
      </c>
      <c r="L39">
        <v>10</v>
      </c>
      <c r="M39" s="27">
        <f t="shared" si="1"/>
        <v>88810</v>
      </c>
      <c r="N39">
        <v>50</v>
      </c>
      <c r="O39">
        <v>11</v>
      </c>
      <c r="P39">
        <v>6</v>
      </c>
      <c r="Q39" s="27">
        <f t="shared" si="2"/>
        <v>12138</v>
      </c>
      <c r="R39" s="93"/>
      <c r="S39" s="1"/>
      <c r="T39" s="1"/>
      <c r="U39" s="93"/>
      <c r="V39" s="24">
        <f t="shared" si="22"/>
        <v>1440.5416666666667</v>
      </c>
      <c r="W39">
        <v>569</v>
      </c>
      <c r="X39">
        <v>5</v>
      </c>
      <c r="Y39">
        <v>8</v>
      </c>
      <c r="Z39" s="28">
        <f t="shared" si="4"/>
        <v>136628</v>
      </c>
      <c r="AA39">
        <v>133</v>
      </c>
      <c r="AB39">
        <v>12</v>
      </c>
      <c r="AC39">
        <v>0</v>
      </c>
      <c r="AD39" s="28">
        <f t="shared" si="14"/>
        <v>32064</v>
      </c>
      <c r="AE39">
        <v>144</v>
      </c>
      <c r="AF39">
        <v>18</v>
      </c>
      <c r="AG39">
        <v>5</v>
      </c>
      <c r="AH39" s="27">
        <f t="shared" si="15"/>
        <v>34781</v>
      </c>
      <c r="AI39">
        <v>1</v>
      </c>
      <c r="AJ39">
        <v>18</v>
      </c>
      <c r="AK39">
        <v>9</v>
      </c>
      <c r="AL39" s="28">
        <f t="shared" si="19"/>
        <v>465</v>
      </c>
      <c r="AM39" s="1"/>
      <c r="AN39" s="1"/>
      <c r="AO39" s="1"/>
      <c r="AP39" s="1"/>
      <c r="AQ39" s="36">
        <f t="shared" si="10"/>
        <v>939.74583333333328</v>
      </c>
      <c r="AR39" s="1"/>
      <c r="AS39" s="1"/>
      <c r="AT39" s="1"/>
      <c r="AU39" s="1"/>
      <c r="AV39" s="116">
        <f t="shared" si="8"/>
        <v>2124.85</v>
      </c>
      <c r="AW39">
        <v>165</v>
      </c>
      <c r="AX39">
        <v>8</v>
      </c>
      <c r="AY39">
        <v>8</v>
      </c>
      <c r="AZ39" s="9">
        <f t="shared" si="18"/>
        <v>39704</v>
      </c>
      <c r="BA39">
        <v>90</v>
      </c>
      <c r="BB39">
        <v>0</v>
      </c>
      <c r="BC39">
        <v>1</v>
      </c>
      <c r="BD39">
        <f t="shared" si="20"/>
        <v>21601</v>
      </c>
      <c r="BE39" s="1"/>
      <c r="BF39" s="1"/>
      <c r="BG39" s="1"/>
      <c r="BH39" s="111">
        <f t="shared" si="6"/>
        <v>255.4375</v>
      </c>
      <c r="BI39" s="102">
        <f t="shared" si="9"/>
        <v>2380.2874999999999</v>
      </c>
      <c r="BJ39" s="1"/>
      <c r="BK39" s="1"/>
      <c r="BL39" s="1"/>
      <c r="BM39" s="1"/>
      <c r="BN39" s="1"/>
      <c r="BO39" s="1"/>
      <c r="BP39" s="1"/>
      <c r="BQ39" s="1"/>
      <c r="BR39" s="1"/>
      <c r="BS39" s="1"/>
      <c r="BT39" s="1"/>
      <c r="BU39" s="1"/>
      <c r="BV39" s="93"/>
      <c r="BW39" s="28">
        <f t="shared" si="7"/>
        <v>2380.2874999999999</v>
      </c>
      <c r="BX39" s="128">
        <f>BW39/'RPI_1880-2010'!B38*100</f>
        <v>125874.53728186144</v>
      </c>
      <c r="BY39" t="s">
        <v>187</v>
      </c>
    </row>
    <row r="40" spans="1:77" s="9" customFormat="1" x14ac:dyDescent="0.25">
      <c r="A40" s="83">
        <v>1917</v>
      </c>
      <c r="B40">
        <v>312</v>
      </c>
      <c r="C40">
        <v>2</v>
      </c>
      <c r="D40">
        <v>8</v>
      </c>
      <c r="E40" s="27">
        <f t="shared" si="12"/>
        <v>74912</v>
      </c>
      <c r="F40">
        <v>120</v>
      </c>
      <c r="G40">
        <v>8</v>
      </c>
      <c r="H40">
        <v>5</v>
      </c>
      <c r="I40" s="27">
        <f t="shared" si="13"/>
        <v>28901</v>
      </c>
      <c r="J40">
        <v>112</v>
      </c>
      <c r="K40">
        <v>8</v>
      </c>
      <c r="L40">
        <v>2</v>
      </c>
      <c r="M40" s="27">
        <f t="shared" si="1"/>
        <v>26978</v>
      </c>
      <c r="N40">
        <v>36</v>
      </c>
      <c r="O40">
        <v>16</v>
      </c>
      <c r="P40">
        <v>0</v>
      </c>
      <c r="Q40" s="27">
        <f t="shared" si="2"/>
        <v>8832</v>
      </c>
      <c r="R40" s="110">
        <v>625</v>
      </c>
      <c r="S40" s="99">
        <v>15</v>
      </c>
      <c r="T40" s="99">
        <v>3</v>
      </c>
      <c r="U40" s="24">
        <f>((240*R40)+(12*S40)+T40)/240</f>
        <v>625.76250000000005</v>
      </c>
      <c r="V40" s="24">
        <f t="shared" si="22"/>
        <v>625.76250000000005</v>
      </c>
      <c r="W40">
        <v>572</v>
      </c>
      <c r="X40">
        <v>4</v>
      </c>
      <c r="Y40">
        <v>5</v>
      </c>
      <c r="Z40" s="28">
        <f t="shared" si="4"/>
        <v>137333</v>
      </c>
      <c r="AA40">
        <v>148</v>
      </c>
      <c r="AB40">
        <v>7</v>
      </c>
      <c r="AC40">
        <v>2</v>
      </c>
      <c r="AD40" s="28">
        <f t="shared" si="14"/>
        <v>35606</v>
      </c>
      <c r="AE40">
        <v>261</v>
      </c>
      <c r="AF40">
        <v>12</v>
      </c>
      <c r="AG40">
        <v>2</v>
      </c>
      <c r="AH40" s="27">
        <f t="shared" si="15"/>
        <v>62786</v>
      </c>
      <c r="AI40">
        <v>1</v>
      </c>
      <c r="AJ40">
        <v>9</v>
      </c>
      <c r="AK40">
        <v>7</v>
      </c>
      <c r="AL40" s="28">
        <f t="shared" si="19"/>
        <v>355</v>
      </c>
      <c r="AM40" s="99">
        <v>1077</v>
      </c>
      <c r="AN40" s="99">
        <v>6</v>
      </c>
      <c r="AO40" s="99">
        <v>2</v>
      </c>
      <c r="AP40" s="24">
        <f>((240*AM40)+(12*AN40)+AO40)/240</f>
        <v>1077.3083333333334</v>
      </c>
      <c r="AQ40" s="36">
        <f t="shared" si="10"/>
        <v>1077.2750000000001</v>
      </c>
      <c r="AR40" s="99">
        <v>79</v>
      </c>
      <c r="AS40" s="99">
        <v>9</v>
      </c>
      <c r="AT40" s="99">
        <v>1</v>
      </c>
      <c r="AU40" s="36">
        <f>((240*AR40)+(12*AS40)+AT40)/240</f>
        <v>79.454166666666666</v>
      </c>
      <c r="AV40" s="116">
        <f t="shared" si="8"/>
        <v>1644.8833333333334</v>
      </c>
      <c r="AW40">
        <v>44</v>
      </c>
      <c r="AX40">
        <v>0</v>
      </c>
      <c r="AY40">
        <v>0</v>
      </c>
      <c r="AZ40" s="9">
        <f t="shared" si="18"/>
        <v>10560</v>
      </c>
      <c r="BA40">
        <v>93</v>
      </c>
      <c r="BB40">
        <v>12</v>
      </c>
      <c r="BC40">
        <v>2</v>
      </c>
      <c r="BD40">
        <f t="shared" si="20"/>
        <v>22466</v>
      </c>
      <c r="BE40" s="1"/>
      <c r="BF40" s="1"/>
      <c r="BG40" s="1"/>
      <c r="BH40" s="111">
        <f t="shared" si="6"/>
        <v>137.60833333333332</v>
      </c>
      <c r="BI40" s="102">
        <f t="shared" si="9"/>
        <v>1782.4916666666668</v>
      </c>
      <c r="BJ40" s="99">
        <v>35</v>
      </c>
      <c r="BK40" s="99">
        <v>0</v>
      </c>
      <c r="BL40" s="99">
        <v>0</v>
      </c>
      <c r="BM40" s="36">
        <f>((240*BJ40)+(12*BK40)+BL40)/240</f>
        <v>35</v>
      </c>
      <c r="BN40" s="1"/>
      <c r="BO40" s="1"/>
      <c r="BP40" s="1"/>
      <c r="BQ40" s="1"/>
      <c r="BR40" s="36">
        <f t="shared" ref="BR40:BR43" si="23">SUM(BM40:BQ40)</f>
        <v>35</v>
      </c>
      <c r="BS40" s="99">
        <f>2222-405</f>
        <v>1817</v>
      </c>
      <c r="BT40" s="99">
        <v>10</v>
      </c>
      <c r="BU40" s="99">
        <v>6</v>
      </c>
      <c r="BV40" s="28">
        <f t="shared" ref="BV40" si="24">((240*BS40)+(12*BT40)+BU40)/240</f>
        <v>1817.5250000000001</v>
      </c>
      <c r="BW40" s="28">
        <f t="shared" si="7"/>
        <v>1817.4916666666668</v>
      </c>
      <c r="BX40" s="128">
        <f>BW40/'RPI_1880-2010'!B39*100</f>
        <v>79435.824592074612</v>
      </c>
      <c r="BY40" t="s">
        <v>193</v>
      </c>
    </row>
    <row r="41" spans="1:77" s="9" customFormat="1" x14ac:dyDescent="0.25">
      <c r="A41" s="83">
        <v>1918</v>
      </c>
      <c r="B41">
        <v>92</v>
      </c>
      <c r="C41">
        <v>14</v>
      </c>
      <c r="D41">
        <v>9</v>
      </c>
      <c r="E41" s="27">
        <f t="shared" si="12"/>
        <v>22257</v>
      </c>
      <c r="F41">
        <v>42</v>
      </c>
      <c r="G41">
        <v>3</v>
      </c>
      <c r="H41">
        <v>9</v>
      </c>
      <c r="I41" s="27">
        <f t="shared" si="13"/>
        <v>10125</v>
      </c>
      <c r="J41">
        <v>110</v>
      </c>
      <c r="K41">
        <v>4</v>
      </c>
      <c r="L41">
        <v>8</v>
      </c>
      <c r="M41" s="27">
        <f t="shared" si="1"/>
        <v>26456</v>
      </c>
      <c r="N41">
        <v>1</v>
      </c>
      <c r="O41">
        <v>5</v>
      </c>
      <c r="P41">
        <v>3</v>
      </c>
      <c r="Q41" s="27">
        <f t="shared" si="2"/>
        <v>303</v>
      </c>
      <c r="R41" s="93"/>
      <c r="S41" s="1"/>
      <c r="T41" s="1"/>
      <c r="U41" s="93"/>
      <c r="V41" s="24">
        <f t="shared" si="22"/>
        <v>271.41250000000002</v>
      </c>
      <c r="W41">
        <v>861</v>
      </c>
      <c r="X41">
        <v>7</v>
      </c>
      <c r="Y41">
        <v>7</v>
      </c>
      <c r="Z41" s="28">
        <f t="shared" si="4"/>
        <v>206731</v>
      </c>
      <c r="AA41">
        <v>351</v>
      </c>
      <c r="AB41">
        <v>12</v>
      </c>
      <c r="AC41">
        <v>10</v>
      </c>
      <c r="AD41" s="28">
        <f t="shared" si="14"/>
        <v>84394</v>
      </c>
      <c r="AE41">
        <v>176</v>
      </c>
      <c r="AF41">
        <v>18</v>
      </c>
      <c r="AG41">
        <v>5</v>
      </c>
      <c r="AH41" s="27">
        <f t="shared" si="15"/>
        <v>42461</v>
      </c>
      <c r="AI41">
        <v>6</v>
      </c>
      <c r="AJ41">
        <v>5</v>
      </c>
      <c r="AK41">
        <v>7</v>
      </c>
      <c r="AL41" s="28">
        <f t="shared" si="19"/>
        <v>1507</v>
      </c>
      <c r="AM41" s="1"/>
      <c r="AN41" s="1"/>
      <c r="AO41" s="1"/>
      <c r="AP41" s="1"/>
      <c r="AQ41" s="36">
        <f t="shared" si="10"/>
        <v>1492.25</v>
      </c>
      <c r="AR41" s="1"/>
      <c r="AS41" s="1"/>
      <c r="AT41" s="1"/>
      <c r="AU41" s="1"/>
      <c r="AV41" s="116">
        <f t="shared" si="8"/>
        <v>1642.6416666666667</v>
      </c>
      <c r="AW41">
        <v>24</v>
      </c>
      <c r="AX41">
        <v>19</v>
      </c>
      <c r="AY41">
        <v>10</v>
      </c>
      <c r="AZ41" s="9">
        <f t="shared" si="18"/>
        <v>5998</v>
      </c>
      <c r="BA41">
        <v>96</v>
      </c>
      <c r="BB41">
        <v>0</v>
      </c>
      <c r="BC41">
        <v>7</v>
      </c>
      <c r="BD41">
        <f t="shared" si="20"/>
        <v>23047</v>
      </c>
      <c r="BE41" s="1"/>
      <c r="BF41" s="1"/>
      <c r="BG41" s="1"/>
      <c r="BH41" s="111">
        <f t="shared" si="6"/>
        <v>121.02083333333333</v>
      </c>
      <c r="BI41" s="102">
        <f t="shared" si="9"/>
        <v>1763.6624999999999</v>
      </c>
      <c r="BJ41" s="1"/>
      <c r="BK41" s="1"/>
      <c r="BL41" s="1"/>
      <c r="BM41" s="1"/>
      <c r="BN41" s="1"/>
      <c r="BO41" s="1"/>
      <c r="BP41" s="1"/>
      <c r="BQ41" s="1"/>
      <c r="BR41" s="36"/>
      <c r="BS41" s="1"/>
      <c r="BT41" s="1"/>
      <c r="BU41" s="1"/>
      <c r="BV41" s="93"/>
      <c r="BW41" s="28">
        <f t="shared" si="7"/>
        <v>1763.6624999999999</v>
      </c>
      <c r="BX41" s="128">
        <f>BW41/'RPI_1880-2010'!B40*100</f>
        <v>67008.453647416405</v>
      </c>
      <c r="BY41" t="s">
        <v>187</v>
      </c>
    </row>
    <row r="42" spans="1:77" s="9" customFormat="1" x14ac:dyDescent="0.25">
      <c r="A42" s="83">
        <v>1919</v>
      </c>
      <c r="B42">
        <v>607</v>
      </c>
      <c r="C42">
        <v>8</v>
      </c>
      <c r="D42">
        <v>0</v>
      </c>
      <c r="E42" s="27">
        <f t="shared" si="12"/>
        <v>145776</v>
      </c>
      <c r="F42">
        <v>95</v>
      </c>
      <c r="G42">
        <v>17</v>
      </c>
      <c r="H42">
        <v>0</v>
      </c>
      <c r="I42" s="27">
        <f t="shared" si="13"/>
        <v>23004</v>
      </c>
      <c r="J42">
        <v>306</v>
      </c>
      <c r="K42">
        <v>5</v>
      </c>
      <c r="L42">
        <v>4</v>
      </c>
      <c r="M42" s="27">
        <f t="shared" si="1"/>
        <v>73504</v>
      </c>
      <c r="N42">
        <v>71</v>
      </c>
      <c r="O42">
        <v>1</v>
      </c>
      <c r="P42">
        <v>0</v>
      </c>
      <c r="Q42" s="27">
        <f t="shared" si="2"/>
        <v>17052</v>
      </c>
      <c r="R42" s="110">
        <v>1194</v>
      </c>
      <c r="S42" s="99">
        <v>17</v>
      </c>
      <c r="T42" s="99">
        <v>4</v>
      </c>
      <c r="U42" s="24">
        <f>((240*R42)+(12*S42)+T42)/240</f>
        <v>1194.8666666666666</v>
      </c>
      <c r="V42" s="24">
        <f t="shared" si="22"/>
        <v>1194.8666666666666</v>
      </c>
      <c r="W42">
        <v>816</v>
      </c>
      <c r="X42">
        <v>6</v>
      </c>
      <c r="Y42">
        <v>6</v>
      </c>
      <c r="Z42" s="28">
        <f t="shared" si="4"/>
        <v>195918</v>
      </c>
      <c r="AA42">
        <v>329</v>
      </c>
      <c r="AB42">
        <v>9</v>
      </c>
      <c r="AC42">
        <v>0</v>
      </c>
      <c r="AD42" s="28">
        <f t="shared" si="14"/>
        <v>79068</v>
      </c>
      <c r="AE42">
        <v>392</v>
      </c>
      <c r="AF42">
        <v>3</v>
      </c>
      <c r="AG42">
        <v>1</v>
      </c>
      <c r="AH42" s="27">
        <f t="shared" si="15"/>
        <v>94117</v>
      </c>
      <c r="AI42">
        <v>2</v>
      </c>
      <c r="AJ42">
        <v>15</v>
      </c>
      <c r="AK42">
        <v>0</v>
      </c>
      <c r="AL42" s="28">
        <f t="shared" si="19"/>
        <v>660</v>
      </c>
      <c r="AM42" s="99">
        <v>1660</v>
      </c>
      <c r="AN42" s="99">
        <v>14</v>
      </c>
      <c r="AO42" s="99">
        <v>0</v>
      </c>
      <c r="AP42" s="24">
        <f>((240*AM42)+(12*AN42)+AO42)/240</f>
        <v>1660.7</v>
      </c>
      <c r="AQ42" s="36">
        <f t="shared" si="10"/>
        <v>1660.7</v>
      </c>
      <c r="AR42" s="99">
        <v>155</v>
      </c>
      <c r="AS42" s="99">
        <v>6</v>
      </c>
      <c r="AT42" s="99">
        <v>5</v>
      </c>
      <c r="AU42" s="36">
        <f>((240*AR42)+(12*AS42)+AT42)/240</f>
        <v>155.32083333333333</v>
      </c>
      <c r="AV42" s="116">
        <f t="shared" si="8"/>
        <v>2776.5666666666666</v>
      </c>
      <c r="AW42">
        <v>114</v>
      </c>
      <c r="AX42">
        <v>6</v>
      </c>
      <c r="AY42">
        <v>0</v>
      </c>
      <c r="AZ42" s="9">
        <f t="shared" si="18"/>
        <v>27432</v>
      </c>
      <c r="BA42">
        <v>120</v>
      </c>
      <c r="BB42">
        <v>0</v>
      </c>
      <c r="BC42">
        <v>5</v>
      </c>
      <c r="BD42">
        <f t="shared" si="20"/>
        <v>28805</v>
      </c>
      <c r="BE42" s="1"/>
      <c r="BF42" s="1"/>
      <c r="BG42" s="1"/>
      <c r="BH42" s="111">
        <f t="shared" si="6"/>
        <v>234.32083333333333</v>
      </c>
      <c r="BI42" s="102">
        <f t="shared" si="9"/>
        <v>3010.8874999999998</v>
      </c>
      <c r="BJ42" s="99">
        <v>35</v>
      </c>
      <c r="BK42" s="1"/>
      <c r="BL42" s="1"/>
      <c r="BM42" s="36">
        <f>((240*BJ42)+(12*BK42)+BL42)/240</f>
        <v>35</v>
      </c>
      <c r="BN42" s="1"/>
      <c r="BO42" s="1"/>
      <c r="BP42" s="1"/>
      <c r="BQ42" s="1"/>
      <c r="BR42" s="36">
        <f t="shared" si="23"/>
        <v>35</v>
      </c>
      <c r="BS42" s="99">
        <v>3045</v>
      </c>
      <c r="BT42" s="99">
        <v>17</v>
      </c>
      <c r="BU42" s="99">
        <v>9</v>
      </c>
      <c r="BV42" s="28">
        <f t="shared" ref="BV42:BV58" si="25">((240*BS42)+(12*BT42)+BU42)/240</f>
        <v>3045.8874999999998</v>
      </c>
      <c r="BW42" s="28">
        <f t="shared" si="7"/>
        <v>3045.8874999999998</v>
      </c>
      <c r="BX42" s="128">
        <f>BW42/'RPI_1880-2010'!B41*100</f>
        <v>109171.59498207884</v>
      </c>
      <c r="BY42" t="s">
        <v>195</v>
      </c>
    </row>
    <row r="43" spans="1:77" x14ac:dyDescent="0.25">
      <c r="A43" s="29">
        <v>1920</v>
      </c>
      <c r="B43">
        <v>1416</v>
      </c>
      <c r="C43">
        <v>10</v>
      </c>
      <c r="D43">
        <v>8</v>
      </c>
      <c r="E43" s="27">
        <f t="shared" ref="E43:E62" si="26">D43+(12*C43)+(240*B43)</f>
        <v>339968</v>
      </c>
      <c r="F43">
        <v>544</v>
      </c>
      <c r="G43">
        <v>12</v>
      </c>
      <c r="H43">
        <v>3</v>
      </c>
      <c r="I43" s="27">
        <f t="shared" ref="I43:I62" si="27">H43+(12*G43)+(240*F43)</f>
        <v>130707</v>
      </c>
      <c r="J43">
        <v>712</v>
      </c>
      <c r="K43">
        <v>3</v>
      </c>
      <c r="L43">
        <v>10</v>
      </c>
      <c r="M43" s="23">
        <f t="shared" ref="M43:M62" si="28">L43+(12*K43)+(240*J43)</f>
        <v>170926</v>
      </c>
      <c r="N43">
        <v>189</v>
      </c>
      <c r="O43">
        <v>9</v>
      </c>
      <c r="P43">
        <v>1</v>
      </c>
      <c r="Q43" s="27">
        <f t="shared" ref="Q43:Q59" si="29">P43+(12*O43)+(240*N43)</f>
        <v>45469</v>
      </c>
      <c r="R43" s="28">
        <v>3072</v>
      </c>
      <c r="S43">
        <v>10</v>
      </c>
      <c r="T43">
        <v>0</v>
      </c>
      <c r="U43" s="24">
        <f>((240*R43)+(12*S43)+T43)/240</f>
        <v>3072.5</v>
      </c>
      <c r="V43" s="24">
        <f t="shared" ref="V43:V62" si="30">(I43+E43+M43+Q43+AZ43)/240</f>
        <v>3072.5</v>
      </c>
      <c r="W43" s="28">
        <v>1710</v>
      </c>
      <c r="X43">
        <v>8</v>
      </c>
      <c r="Y43">
        <v>7</v>
      </c>
      <c r="Z43" s="28">
        <f t="shared" ref="Z43:Z62" si="31">(W43*240)+(X43*12)+Y43</f>
        <v>410503</v>
      </c>
      <c r="AA43">
        <v>544</v>
      </c>
      <c r="AB43">
        <v>17</v>
      </c>
      <c r="AC43">
        <v>10</v>
      </c>
      <c r="AD43" s="28">
        <f t="shared" ref="AD43:AD62" si="32">(AA43*240)+(AB43*12)+AC43</f>
        <v>130774</v>
      </c>
      <c r="AE43">
        <v>371</v>
      </c>
      <c r="AF43">
        <v>11</v>
      </c>
      <c r="AG43">
        <v>4</v>
      </c>
      <c r="AH43" s="28">
        <f t="shared" ref="AH43:AH62" si="33">(AE43*240)+(AF43*12)+AG43</f>
        <v>89176</v>
      </c>
      <c r="AI43">
        <v>13</v>
      </c>
      <c r="AJ43" s="16">
        <v>12</v>
      </c>
      <c r="AK43">
        <v>0</v>
      </c>
      <c r="AL43" s="28">
        <f t="shared" ref="AL43:AL59" si="34">(AI43*240)+(AJ43*12)+AK43</f>
        <v>3264</v>
      </c>
      <c r="AM43">
        <v>2848</v>
      </c>
      <c r="AN43">
        <v>17</v>
      </c>
      <c r="AO43">
        <v>1</v>
      </c>
      <c r="AP43" s="24">
        <f>((240*AM43)+(12*AN43)+AO43)/240</f>
        <v>2848.8541666666665</v>
      </c>
      <c r="AQ43" s="36">
        <f>(Z43+AD43+AH43+AL43+BD43)/240</f>
        <v>2848.8541666666665</v>
      </c>
      <c r="AR43">
        <v>177</v>
      </c>
      <c r="AS43">
        <v>13</v>
      </c>
      <c r="AT43">
        <v>8</v>
      </c>
      <c r="AU43" s="36">
        <f>((240*AR43)+(12*AS43)+AT43)/240</f>
        <v>177.68333333333334</v>
      </c>
      <c r="AV43" s="116">
        <f t="shared" si="8"/>
        <v>5680.9625000000005</v>
      </c>
      <c r="AW43">
        <v>209</v>
      </c>
      <c r="AX43">
        <v>14</v>
      </c>
      <c r="AY43">
        <v>2</v>
      </c>
      <c r="AZ43" s="9">
        <f t="shared" ref="AZ43:AZ62" si="35">AY43+(12*AX43)+(240*AW43)</f>
        <v>50330</v>
      </c>
      <c r="BA43">
        <v>208</v>
      </c>
      <c r="BB43">
        <v>7</v>
      </c>
      <c r="BC43">
        <v>4</v>
      </c>
      <c r="BD43">
        <f t="shared" ref="BD43:BD62" si="36">(BA43*240)+(BB43*12)+BC43</f>
        <v>50008</v>
      </c>
      <c r="BH43" s="111">
        <f>(AZ43+BD43)/240</f>
        <v>418.07499999999999</v>
      </c>
      <c r="BI43" s="102">
        <f t="shared" si="9"/>
        <v>6099.0375000000004</v>
      </c>
      <c r="BJ43">
        <v>35</v>
      </c>
      <c r="BK43">
        <v>0</v>
      </c>
      <c r="BL43">
        <v>0</v>
      </c>
      <c r="BM43" s="36">
        <f>((240*BJ43)+(12*BK43)+BL43)/240</f>
        <v>35</v>
      </c>
      <c r="BN43" s="36"/>
      <c r="BO43" s="36"/>
      <c r="BP43" s="36"/>
      <c r="BQ43" s="36"/>
      <c r="BR43" s="36">
        <f t="shared" si="23"/>
        <v>35</v>
      </c>
      <c r="BS43">
        <f>6599-465</f>
        <v>6134</v>
      </c>
      <c r="BT43">
        <v>0</v>
      </c>
      <c r="BU43">
        <v>9</v>
      </c>
      <c r="BV43" s="28">
        <f t="shared" si="25"/>
        <v>6134.0375000000004</v>
      </c>
      <c r="BW43" s="28">
        <f t="shared" si="7"/>
        <v>6134.0375000000004</v>
      </c>
      <c r="BX43" s="128">
        <f>BW43/'RPI_1880-2010'!B42*100</f>
        <v>192169.09461152882</v>
      </c>
      <c r="BY43" t="s">
        <v>58</v>
      </c>
    </row>
    <row r="44" spans="1:77" x14ac:dyDescent="0.25">
      <c r="A44" s="29">
        <v>1921</v>
      </c>
      <c r="B44">
        <v>1023</v>
      </c>
      <c r="C44">
        <v>7</v>
      </c>
      <c r="D44">
        <v>4</v>
      </c>
      <c r="E44" s="27">
        <f t="shared" si="26"/>
        <v>245608</v>
      </c>
      <c r="F44">
        <v>253</v>
      </c>
      <c r="G44">
        <v>2</v>
      </c>
      <c r="H44">
        <v>6</v>
      </c>
      <c r="I44" s="27">
        <f t="shared" si="27"/>
        <v>60750</v>
      </c>
      <c r="J44">
        <v>458</v>
      </c>
      <c r="K44">
        <v>15</v>
      </c>
      <c r="L44">
        <v>7</v>
      </c>
      <c r="M44" s="23">
        <f t="shared" si="28"/>
        <v>110107</v>
      </c>
      <c r="N44">
        <v>96</v>
      </c>
      <c r="O44">
        <v>14</v>
      </c>
      <c r="P44">
        <v>6</v>
      </c>
      <c r="Q44" s="27">
        <f t="shared" si="29"/>
        <v>23214</v>
      </c>
      <c r="R44">
        <v>1959</v>
      </c>
      <c r="S44">
        <v>10</v>
      </c>
      <c r="T44">
        <v>11</v>
      </c>
      <c r="U44" s="24">
        <f>((240*R44)+(12*S44)+T44)/240</f>
        <v>1959.5458333333333</v>
      </c>
      <c r="V44" s="24">
        <f t="shared" si="30"/>
        <v>1959.5458333333333</v>
      </c>
      <c r="W44" s="28">
        <v>1876</v>
      </c>
      <c r="X44">
        <v>16</v>
      </c>
      <c r="Y44">
        <v>7</v>
      </c>
      <c r="Z44" s="28">
        <f t="shared" si="31"/>
        <v>450439</v>
      </c>
      <c r="AA44">
        <v>408</v>
      </c>
      <c r="AB44">
        <v>6</v>
      </c>
      <c r="AC44">
        <v>8</v>
      </c>
      <c r="AD44" s="28">
        <f t="shared" si="32"/>
        <v>98000</v>
      </c>
      <c r="AE44">
        <v>486</v>
      </c>
      <c r="AF44">
        <v>6</v>
      </c>
      <c r="AG44">
        <v>0</v>
      </c>
      <c r="AH44" s="28">
        <f t="shared" si="33"/>
        <v>116712</v>
      </c>
      <c r="AI44">
        <v>31</v>
      </c>
      <c r="AJ44" s="16">
        <v>9</v>
      </c>
      <c r="AK44">
        <v>0</v>
      </c>
      <c r="AL44" s="28">
        <f t="shared" si="34"/>
        <v>7548</v>
      </c>
      <c r="AM44">
        <v>2947</v>
      </c>
      <c r="AN44">
        <v>10</v>
      </c>
      <c r="AO44">
        <v>6</v>
      </c>
      <c r="AP44" s="24">
        <f>((240*AM44)+(12*AN44)+AO44)/240</f>
        <v>2947.5250000000001</v>
      </c>
      <c r="AQ44" s="36">
        <f>(Z44+AD44+AH44+AL44+BD44)/240</f>
        <v>2947.5250000000001</v>
      </c>
      <c r="AR44">
        <v>174</v>
      </c>
      <c r="AS44">
        <v>13</v>
      </c>
      <c r="AT44">
        <v>5</v>
      </c>
      <c r="AU44" s="36">
        <f>((240*AR44)+(12*AS44)+AT44)/240</f>
        <v>174.67083333333332</v>
      </c>
      <c r="AV44" s="116">
        <f t="shared" si="8"/>
        <v>4809.5791666666664</v>
      </c>
      <c r="AW44">
        <v>127</v>
      </c>
      <c r="AX44">
        <v>11</v>
      </c>
      <c r="AY44">
        <v>0</v>
      </c>
      <c r="AZ44" s="9">
        <f t="shared" si="35"/>
        <v>30612</v>
      </c>
      <c r="BA44">
        <v>144</v>
      </c>
      <c r="BB44">
        <v>12</v>
      </c>
      <c r="BC44">
        <v>3</v>
      </c>
      <c r="BD44">
        <f t="shared" si="36"/>
        <v>34707</v>
      </c>
      <c r="BH44" s="111">
        <f t="shared" ref="BH44:BH62" si="37">(AZ44+BD44)/240</f>
        <v>272.16250000000002</v>
      </c>
      <c r="BI44" s="102">
        <f t="shared" si="9"/>
        <v>5081.7416666666668</v>
      </c>
      <c r="BR44" s="36"/>
      <c r="BS44">
        <f>5621-540</f>
        <v>5081</v>
      </c>
      <c r="BT44">
        <v>14</v>
      </c>
      <c r="BU44">
        <v>10</v>
      </c>
      <c r="BV44" s="28">
        <f t="shared" si="25"/>
        <v>5081.7416666666668</v>
      </c>
      <c r="BW44" s="28">
        <f t="shared" si="7"/>
        <v>5081.7416666666668</v>
      </c>
      <c r="BX44" s="128">
        <f>BW44/'RPI_1880-2010'!B43*100</f>
        <v>175838.81199538638</v>
      </c>
      <c r="BY44" t="s">
        <v>42</v>
      </c>
    </row>
    <row r="45" spans="1:77" x14ac:dyDescent="0.25">
      <c r="A45" s="29">
        <v>1922</v>
      </c>
      <c r="B45">
        <v>951</v>
      </c>
      <c r="C45">
        <v>8</v>
      </c>
      <c r="D45">
        <v>2</v>
      </c>
      <c r="E45" s="27">
        <f t="shared" si="26"/>
        <v>228338</v>
      </c>
      <c r="F45">
        <v>202</v>
      </c>
      <c r="G45">
        <v>10</v>
      </c>
      <c r="H45">
        <v>0</v>
      </c>
      <c r="I45" s="27">
        <f t="shared" si="27"/>
        <v>48600</v>
      </c>
      <c r="J45">
        <v>258</v>
      </c>
      <c r="K45">
        <v>2</v>
      </c>
      <c r="L45">
        <v>4</v>
      </c>
      <c r="M45" s="23">
        <f t="shared" si="28"/>
        <v>61948</v>
      </c>
      <c r="N45">
        <v>47</v>
      </c>
      <c r="O45">
        <v>0</v>
      </c>
      <c r="P45">
        <v>3</v>
      </c>
      <c r="Q45" s="27">
        <f t="shared" si="29"/>
        <v>11283</v>
      </c>
      <c r="R45" s="9">
        <v>1498</v>
      </c>
      <c r="S45" s="9">
        <v>7</v>
      </c>
      <c r="T45" s="9">
        <v>9</v>
      </c>
      <c r="U45" s="24">
        <f>((240*R45)+(12*S45)+T45)/240</f>
        <v>1498.3875</v>
      </c>
      <c r="V45" s="24">
        <f t="shared" si="30"/>
        <v>1498.3875</v>
      </c>
      <c r="W45" s="28">
        <v>2569</v>
      </c>
      <c r="X45">
        <v>6</v>
      </c>
      <c r="Y45">
        <v>10</v>
      </c>
      <c r="Z45" s="28">
        <f t="shared" si="31"/>
        <v>616642</v>
      </c>
      <c r="AA45">
        <v>583</v>
      </c>
      <c r="AB45">
        <v>6</v>
      </c>
      <c r="AC45">
        <v>8</v>
      </c>
      <c r="AD45" s="28">
        <f t="shared" si="32"/>
        <v>140000</v>
      </c>
      <c r="AE45">
        <v>441</v>
      </c>
      <c r="AF45">
        <v>14</v>
      </c>
      <c r="AG45">
        <v>10</v>
      </c>
      <c r="AH45" s="28">
        <f t="shared" si="33"/>
        <v>106018</v>
      </c>
      <c r="AI45">
        <v>51</v>
      </c>
      <c r="AJ45" s="16">
        <v>12</v>
      </c>
      <c r="AK45">
        <v>0</v>
      </c>
      <c r="AL45" s="28">
        <f t="shared" si="34"/>
        <v>12384</v>
      </c>
      <c r="AM45">
        <v>3767</v>
      </c>
      <c r="AN45">
        <v>10</v>
      </c>
      <c r="AO45">
        <v>1</v>
      </c>
      <c r="AP45" s="24">
        <f>((240*AM45)+(12*AN45)+AO45)/240</f>
        <v>3767.5041666666666</v>
      </c>
      <c r="AQ45" s="36">
        <f>(Z45+AD45+AH45+AL45+BD45)/240</f>
        <v>3767.5041666666666</v>
      </c>
      <c r="AV45" s="116">
        <f t="shared" si="8"/>
        <v>5105.0541666666668</v>
      </c>
      <c r="AW45">
        <v>39</v>
      </c>
      <c r="AX45">
        <v>7</v>
      </c>
      <c r="AY45">
        <v>0</v>
      </c>
      <c r="AZ45" s="9">
        <f t="shared" si="35"/>
        <v>9444</v>
      </c>
      <c r="BA45">
        <v>121</v>
      </c>
      <c r="BB45">
        <v>9</v>
      </c>
      <c r="BC45">
        <v>9</v>
      </c>
      <c r="BD45">
        <f t="shared" si="36"/>
        <v>29157</v>
      </c>
      <c r="BH45" s="111">
        <f t="shared" si="37"/>
        <v>160.83750000000001</v>
      </c>
      <c r="BI45" s="102">
        <f t="shared" si="9"/>
        <v>5265.8916666666664</v>
      </c>
      <c r="BR45" s="36"/>
      <c r="BS45">
        <v>5265</v>
      </c>
      <c r="BT45">
        <v>17</v>
      </c>
      <c r="BU45">
        <v>10</v>
      </c>
      <c r="BV45" s="28">
        <f t="shared" si="25"/>
        <v>5265.8916666666664</v>
      </c>
      <c r="BW45" s="28">
        <f t="shared" si="7"/>
        <v>5265.8916666666664</v>
      </c>
      <c r="BX45" s="128">
        <f>BW45/'RPI_1880-2010'!B44*100</f>
        <v>224271.36570130606</v>
      </c>
      <c r="BY45" t="s">
        <v>34</v>
      </c>
    </row>
    <row r="46" spans="1:77" x14ac:dyDescent="0.25">
      <c r="A46" s="29">
        <v>1923</v>
      </c>
      <c r="B46">
        <v>630</v>
      </c>
      <c r="C46">
        <v>17</v>
      </c>
      <c r="D46">
        <v>7</v>
      </c>
      <c r="E46" s="27">
        <f t="shared" si="26"/>
        <v>151411</v>
      </c>
      <c r="F46">
        <v>112</v>
      </c>
      <c r="G46">
        <v>10</v>
      </c>
      <c r="H46">
        <v>0</v>
      </c>
      <c r="I46" s="27">
        <f t="shared" si="27"/>
        <v>27000</v>
      </c>
      <c r="J46">
        <v>206</v>
      </c>
      <c r="K46">
        <v>19</v>
      </c>
      <c r="L46">
        <v>4</v>
      </c>
      <c r="M46" s="23">
        <f t="shared" si="28"/>
        <v>49672</v>
      </c>
      <c r="N46">
        <v>31</v>
      </c>
      <c r="O46">
        <v>13</v>
      </c>
      <c r="P46">
        <v>0</v>
      </c>
      <c r="Q46" s="27">
        <f t="shared" si="29"/>
        <v>7596</v>
      </c>
      <c r="R46" s="28">
        <v>1029</v>
      </c>
      <c r="S46">
        <v>1</v>
      </c>
      <c r="T46">
        <v>0</v>
      </c>
      <c r="U46" s="24">
        <f t="shared" ref="U46:U62" si="38">((240*R46)+(12*S46)+T46)/240</f>
        <v>1029.05</v>
      </c>
      <c r="V46" s="24">
        <f t="shared" si="30"/>
        <v>1029.05</v>
      </c>
      <c r="W46" s="28">
        <v>3126</v>
      </c>
      <c r="X46">
        <v>1</v>
      </c>
      <c r="Y46">
        <v>0</v>
      </c>
      <c r="Z46" s="28">
        <f t="shared" si="31"/>
        <v>750252</v>
      </c>
      <c r="AA46">
        <v>510</v>
      </c>
      <c r="AB46">
        <v>8</v>
      </c>
      <c r="AC46">
        <v>4</v>
      </c>
      <c r="AD46" s="28">
        <f t="shared" si="32"/>
        <v>122500</v>
      </c>
      <c r="AE46">
        <v>731</v>
      </c>
      <c r="AF46">
        <v>0</v>
      </c>
      <c r="AG46">
        <v>1</v>
      </c>
      <c r="AH46" s="28">
        <f t="shared" si="33"/>
        <v>175441</v>
      </c>
      <c r="AI46">
        <v>45</v>
      </c>
      <c r="AJ46" s="16">
        <v>0</v>
      </c>
      <c r="AK46">
        <v>0</v>
      </c>
      <c r="AL46" s="28">
        <f t="shared" si="34"/>
        <v>10800</v>
      </c>
      <c r="AM46">
        <v>4555</v>
      </c>
      <c r="AN46">
        <v>0</v>
      </c>
      <c r="AO46">
        <v>2</v>
      </c>
      <c r="AP46" s="24">
        <f t="shared" ref="AP46:AP62" si="39">((240*AM46)+(12*AN46)+AO46)/240</f>
        <v>4555.0083333333332</v>
      </c>
      <c r="AQ46" s="36">
        <f t="shared" ref="AQ46:AQ62" si="40">(Z46+AD46+AH46+AL46+BD46)/240</f>
        <v>4555.0083333333332</v>
      </c>
      <c r="AR46">
        <v>128</v>
      </c>
      <c r="AS46">
        <v>9</v>
      </c>
      <c r="AT46">
        <v>8</v>
      </c>
      <c r="AU46" s="36">
        <f>((240*AR46)+(12*AS46)+AT46)/240</f>
        <v>128.48333333333332</v>
      </c>
      <c r="AV46" s="116">
        <f t="shared" si="8"/>
        <v>5522.9500000000007</v>
      </c>
      <c r="AW46">
        <v>47</v>
      </c>
      <c r="AX46">
        <v>1</v>
      </c>
      <c r="AY46">
        <v>1</v>
      </c>
      <c r="AZ46" s="9">
        <f t="shared" si="35"/>
        <v>11293</v>
      </c>
      <c r="BA46">
        <v>142</v>
      </c>
      <c r="BB46">
        <v>10</v>
      </c>
      <c r="BC46">
        <v>9</v>
      </c>
      <c r="BD46">
        <f t="shared" si="36"/>
        <v>34209</v>
      </c>
      <c r="BH46" s="111">
        <f t="shared" si="37"/>
        <v>189.59166666666667</v>
      </c>
      <c r="BI46" s="102">
        <f t="shared" si="9"/>
        <v>5712.541666666667</v>
      </c>
      <c r="BR46" s="36"/>
      <c r="BS46">
        <f>5584+128</f>
        <v>5712</v>
      </c>
      <c r="BT46">
        <f>1+9</f>
        <v>10</v>
      </c>
      <c r="BU46">
        <f>2+8</f>
        <v>10</v>
      </c>
      <c r="BV46" s="28">
        <f t="shared" si="25"/>
        <v>5712.541666666667</v>
      </c>
      <c r="BW46" s="28">
        <f t="shared" si="7"/>
        <v>5712.541666666667</v>
      </c>
      <c r="BX46" s="128">
        <f>BW46/'RPI_1880-2010'!B45*100</f>
        <v>254116.62218268088</v>
      </c>
      <c r="BY46" t="s">
        <v>89</v>
      </c>
    </row>
    <row r="47" spans="1:77" x14ac:dyDescent="0.25">
      <c r="A47" s="29">
        <v>1924</v>
      </c>
      <c r="B47">
        <v>911</v>
      </c>
      <c r="C47">
        <v>8</v>
      </c>
      <c r="D47">
        <v>1</v>
      </c>
      <c r="E47" s="27">
        <f t="shared" si="26"/>
        <v>218737</v>
      </c>
      <c r="F47">
        <v>168</v>
      </c>
      <c r="G47">
        <v>15</v>
      </c>
      <c r="H47">
        <v>0</v>
      </c>
      <c r="I47" s="27">
        <f t="shared" si="27"/>
        <v>40500</v>
      </c>
      <c r="J47">
        <v>508</v>
      </c>
      <c r="K47">
        <v>7</v>
      </c>
      <c r="L47">
        <v>5</v>
      </c>
      <c r="M47" s="23">
        <f t="shared" si="28"/>
        <v>122009</v>
      </c>
      <c r="N47">
        <v>55</v>
      </c>
      <c r="O47">
        <v>13</v>
      </c>
      <c r="P47">
        <v>6</v>
      </c>
      <c r="Q47" s="27">
        <f t="shared" si="29"/>
        <v>13362</v>
      </c>
      <c r="R47" s="28">
        <v>1683</v>
      </c>
      <c r="S47">
        <v>12</v>
      </c>
      <c r="T47">
        <v>2</v>
      </c>
      <c r="U47" s="24">
        <f t="shared" si="38"/>
        <v>1683.6083333333333</v>
      </c>
      <c r="V47" s="24">
        <f t="shared" si="30"/>
        <v>1683.6083333333333</v>
      </c>
      <c r="W47" s="28">
        <v>2904</v>
      </c>
      <c r="X47">
        <v>3</v>
      </c>
      <c r="Y47">
        <v>0</v>
      </c>
      <c r="Z47" s="28">
        <f t="shared" si="31"/>
        <v>696996</v>
      </c>
      <c r="AA47">
        <v>510</v>
      </c>
      <c r="AB47">
        <v>8</v>
      </c>
      <c r="AC47">
        <v>4</v>
      </c>
      <c r="AD47" s="28">
        <f t="shared" si="32"/>
        <v>122500</v>
      </c>
      <c r="AE47">
        <v>707</v>
      </c>
      <c r="AF47">
        <v>19</v>
      </c>
      <c r="AG47">
        <v>10</v>
      </c>
      <c r="AH47" s="28">
        <f t="shared" si="33"/>
        <v>169918</v>
      </c>
      <c r="AI47">
        <v>53</v>
      </c>
      <c r="AJ47" s="16">
        <v>3</v>
      </c>
      <c r="AK47">
        <v>6</v>
      </c>
      <c r="AL47" s="28">
        <f t="shared" si="34"/>
        <v>12762</v>
      </c>
      <c r="AM47">
        <v>4300</v>
      </c>
      <c r="AN47">
        <v>19</v>
      </c>
      <c r="AO47">
        <v>1</v>
      </c>
      <c r="AP47" s="24">
        <f t="shared" si="39"/>
        <v>4300.9541666666664</v>
      </c>
      <c r="AQ47" s="36">
        <f t="shared" si="40"/>
        <v>4300.9541666666664</v>
      </c>
      <c r="AV47" s="116">
        <f t="shared" si="8"/>
        <v>5819.9333333333334</v>
      </c>
      <c r="AW47">
        <v>39</v>
      </c>
      <c r="AX47">
        <v>8</v>
      </c>
      <c r="AY47">
        <v>2</v>
      </c>
      <c r="AZ47" s="9">
        <f t="shared" si="35"/>
        <v>9458</v>
      </c>
      <c r="BA47">
        <v>125</v>
      </c>
      <c r="BB47">
        <v>4</v>
      </c>
      <c r="BC47">
        <v>5</v>
      </c>
      <c r="BD47">
        <f t="shared" si="36"/>
        <v>30053</v>
      </c>
      <c r="BH47" s="111">
        <f t="shared" si="37"/>
        <v>164.62916666666666</v>
      </c>
      <c r="BI47" s="102">
        <f t="shared" si="9"/>
        <v>5984.5625</v>
      </c>
      <c r="BR47" s="36"/>
      <c r="BS47">
        <v>5984</v>
      </c>
      <c r="BT47">
        <v>11</v>
      </c>
      <c r="BU47">
        <v>3</v>
      </c>
      <c r="BV47" s="28">
        <f t="shared" si="25"/>
        <v>5984.5625</v>
      </c>
      <c r="BW47" s="28">
        <f t="shared" si="7"/>
        <v>5984.5625</v>
      </c>
      <c r="BX47" s="128">
        <f>BW47/'RPI_1880-2010'!B46*100</f>
        <v>266217.19306049816</v>
      </c>
      <c r="BY47" t="s">
        <v>39</v>
      </c>
    </row>
    <row r="48" spans="1:77" x14ac:dyDescent="0.25">
      <c r="A48" s="29">
        <v>1925</v>
      </c>
      <c r="B48">
        <v>856</v>
      </c>
      <c r="C48">
        <v>18</v>
      </c>
      <c r="D48">
        <v>3</v>
      </c>
      <c r="E48" s="27">
        <f t="shared" si="26"/>
        <v>205659</v>
      </c>
      <c r="F48">
        <v>168</v>
      </c>
      <c r="G48">
        <v>15</v>
      </c>
      <c r="H48">
        <v>0</v>
      </c>
      <c r="I48" s="27">
        <f t="shared" si="27"/>
        <v>40500</v>
      </c>
      <c r="J48">
        <v>213</v>
      </c>
      <c r="K48">
        <v>1</v>
      </c>
      <c r="L48">
        <v>11</v>
      </c>
      <c r="M48" s="23">
        <f t="shared" si="28"/>
        <v>51143</v>
      </c>
      <c r="N48">
        <v>86</v>
      </c>
      <c r="O48">
        <v>17</v>
      </c>
      <c r="P48">
        <v>3</v>
      </c>
      <c r="Q48" s="27">
        <f t="shared" si="29"/>
        <v>20847</v>
      </c>
      <c r="R48" s="28">
        <v>1369</v>
      </c>
      <c r="S48">
        <v>13</v>
      </c>
      <c r="T48">
        <v>5</v>
      </c>
      <c r="U48" s="24">
        <f t="shared" si="38"/>
        <v>1369.6708333333333</v>
      </c>
      <c r="V48" s="24">
        <f t="shared" si="30"/>
        <v>1369.6708333333333</v>
      </c>
      <c r="W48" s="28">
        <v>4290</v>
      </c>
      <c r="X48">
        <v>0</v>
      </c>
      <c r="Y48">
        <v>7</v>
      </c>
      <c r="Z48" s="28">
        <f t="shared" si="31"/>
        <v>1029607</v>
      </c>
      <c r="AA48">
        <v>729</v>
      </c>
      <c r="AB48">
        <v>3</v>
      </c>
      <c r="AC48">
        <v>4</v>
      </c>
      <c r="AD48" s="28">
        <f t="shared" si="32"/>
        <v>175000</v>
      </c>
      <c r="AE48">
        <v>915</v>
      </c>
      <c r="AF48">
        <v>5</v>
      </c>
      <c r="AG48">
        <v>6</v>
      </c>
      <c r="AH48" s="28">
        <f t="shared" si="33"/>
        <v>219666</v>
      </c>
      <c r="AI48">
        <v>72</v>
      </c>
      <c r="AJ48" s="16">
        <v>4</v>
      </c>
      <c r="AK48">
        <v>0</v>
      </c>
      <c r="AL48" s="28">
        <f t="shared" si="34"/>
        <v>17328</v>
      </c>
      <c r="AM48">
        <v>6182</v>
      </c>
      <c r="AN48">
        <v>4</v>
      </c>
      <c r="AO48">
        <v>9</v>
      </c>
      <c r="AP48" s="24">
        <f t="shared" si="39"/>
        <v>6182.2375000000002</v>
      </c>
      <c r="AQ48" s="36">
        <f t="shared" si="40"/>
        <v>6182.2375000000002</v>
      </c>
      <c r="AR48">
        <v>148</v>
      </c>
      <c r="AS48">
        <v>6</v>
      </c>
      <c r="AT48">
        <v>10</v>
      </c>
      <c r="AU48" s="36">
        <f>((240*AR48)+(12*AS48)+AT48)/240</f>
        <v>148.34166666666667</v>
      </c>
      <c r="AV48" s="116">
        <f t="shared" si="8"/>
        <v>7480.6333333333332</v>
      </c>
      <c r="AW48">
        <v>44</v>
      </c>
      <c r="AX48">
        <v>1</v>
      </c>
      <c r="AY48">
        <v>0</v>
      </c>
      <c r="AZ48" s="9">
        <f t="shared" si="35"/>
        <v>10572</v>
      </c>
      <c r="BA48">
        <v>175</v>
      </c>
      <c r="BB48">
        <v>11</v>
      </c>
      <c r="BC48">
        <v>4</v>
      </c>
      <c r="BD48">
        <f t="shared" si="36"/>
        <v>42136</v>
      </c>
      <c r="BH48" s="111">
        <f t="shared" si="37"/>
        <v>219.61666666666667</v>
      </c>
      <c r="BI48" s="102">
        <f t="shared" si="9"/>
        <v>7700.25</v>
      </c>
      <c r="BR48" s="36"/>
      <c r="BS48">
        <f>10051-2500+148</f>
        <v>7699</v>
      </c>
      <c r="BT48">
        <f>18+6</f>
        <v>24</v>
      </c>
      <c r="BU48">
        <f>2+10</f>
        <v>12</v>
      </c>
      <c r="BV48" s="28">
        <f t="shared" si="25"/>
        <v>7700.25</v>
      </c>
      <c r="BW48" s="28">
        <f t="shared" si="7"/>
        <v>7700.25</v>
      </c>
      <c r="BX48" s="128">
        <f>BW48/'RPI_1880-2010'!B47*100</f>
        <v>342537.81138790032</v>
      </c>
      <c r="BY48" t="s">
        <v>90</v>
      </c>
    </row>
    <row r="49" spans="1:77" x14ac:dyDescent="0.25">
      <c r="A49" s="29">
        <v>1926</v>
      </c>
      <c r="B49">
        <v>1396</v>
      </c>
      <c r="C49">
        <v>3</v>
      </c>
      <c r="D49">
        <v>4</v>
      </c>
      <c r="E49" s="27">
        <f t="shared" si="26"/>
        <v>335080</v>
      </c>
      <c r="F49">
        <v>219</v>
      </c>
      <c r="G49">
        <v>7</v>
      </c>
      <c r="H49">
        <v>6</v>
      </c>
      <c r="I49" s="27">
        <f t="shared" si="27"/>
        <v>52650</v>
      </c>
      <c r="J49">
        <v>522</v>
      </c>
      <c r="K49">
        <v>13</v>
      </c>
      <c r="L49">
        <v>3</v>
      </c>
      <c r="M49" s="23">
        <f t="shared" si="28"/>
        <v>125439</v>
      </c>
      <c r="N49">
        <v>68</v>
      </c>
      <c r="O49">
        <v>6</v>
      </c>
      <c r="P49">
        <v>0</v>
      </c>
      <c r="Q49" s="27">
        <f t="shared" si="29"/>
        <v>16392</v>
      </c>
      <c r="R49" s="28">
        <v>2277</v>
      </c>
      <c r="S49">
        <v>4</v>
      </c>
      <c r="T49">
        <v>3</v>
      </c>
      <c r="U49" s="24">
        <f t="shared" si="38"/>
        <v>2277.2125000000001</v>
      </c>
      <c r="V49" s="24">
        <f t="shared" si="30"/>
        <v>2277.2125000000001</v>
      </c>
      <c r="W49" s="28">
        <v>4115</v>
      </c>
      <c r="X49">
        <v>9</v>
      </c>
      <c r="Y49">
        <v>8</v>
      </c>
      <c r="Z49" s="28">
        <f t="shared" si="31"/>
        <v>987716</v>
      </c>
      <c r="AA49">
        <v>915</v>
      </c>
      <c r="AB49">
        <v>2</v>
      </c>
      <c r="AC49">
        <v>1</v>
      </c>
      <c r="AD49" s="28">
        <f t="shared" si="32"/>
        <v>219625</v>
      </c>
      <c r="AE49">
        <v>864</v>
      </c>
      <c r="AF49">
        <v>14</v>
      </c>
      <c r="AG49">
        <v>2</v>
      </c>
      <c r="AH49" s="28">
        <f t="shared" si="33"/>
        <v>207530</v>
      </c>
      <c r="AI49">
        <v>114</v>
      </c>
      <c r="AJ49" s="16">
        <v>16</v>
      </c>
      <c r="AK49">
        <v>0</v>
      </c>
      <c r="AL49" s="28">
        <f t="shared" si="34"/>
        <v>27552</v>
      </c>
      <c r="AM49">
        <v>6196</v>
      </c>
      <c r="AN49">
        <v>6</v>
      </c>
      <c r="AO49">
        <v>0</v>
      </c>
      <c r="AP49" s="24">
        <f t="shared" si="39"/>
        <v>6196.3</v>
      </c>
      <c r="AQ49" s="36">
        <f t="shared" si="40"/>
        <v>6196.3</v>
      </c>
      <c r="AV49" s="116">
        <f t="shared" si="8"/>
        <v>8216.6</v>
      </c>
      <c r="AW49">
        <v>70</v>
      </c>
      <c r="AX49">
        <v>14</v>
      </c>
      <c r="AY49">
        <v>2</v>
      </c>
      <c r="AZ49" s="9">
        <f t="shared" si="35"/>
        <v>16970</v>
      </c>
      <c r="BA49">
        <v>186</v>
      </c>
      <c r="BB49">
        <v>4</v>
      </c>
      <c r="BC49">
        <v>1</v>
      </c>
      <c r="BD49">
        <f t="shared" si="36"/>
        <v>44689</v>
      </c>
      <c r="BH49" s="111">
        <f t="shared" si="37"/>
        <v>256.91250000000002</v>
      </c>
      <c r="BI49" s="102">
        <f t="shared" si="9"/>
        <v>8473.5125000000007</v>
      </c>
      <c r="BR49" s="36"/>
      <c r="BS49">
        <f>10123-1650</f>
        <v>8473</v>
      </c>
      <c r="BT49">
        <v>10</v>
      </c>
      <c r="BU49">
        <v>3</v>
      </c>
      <c r="BV49" s="28">
        <f t="shared" si="25"/>
        <v>8473.5125000000007</v>
      </c>
      <c r="BW49" s="28">
        <f t="shared" si="7"/>
        <v>8473.5125000000007</v>
      </c>
      <c r="BX49" s="128">
        <f>BW49/'RPI_1880-2010'!B48*100</f>
        <v>383590.42553191492</v>
      </c>
      <c r="BY49" t="s">
        <v>9</v>
      </c>
    </row>
    <row r="50" spans="1:77" x14ac:dyDescent="0.25">
      <c r="A50" s="29">
        <v>1927</v>
      </c>
      <c r="B50">
        <v>1025</v>
      </c>
      <c r="C50">
        <v>11</v>
      </c>
      <c r="D50">
        <v>7</v>
      </c>
      <c r="E50" s="27">
        <f t="shared" si="26"/>
        <v>246139</v>
      </c>
      <c r="F50">
        <v>160</v>
      </c>
      <c r="G50">
        <v>6</v>
      </c>
      <c r="H50">
        <v>3</v>
      </c>
      <c r="I50" s="27">
        <f t="shared" si="27"/>
        <v>38475</v>
      </c>
      <c r="J50">
        <v>549</v>
      </c>
      <c r="K50">
        <v>14</v>
      </c>
      <c r="L50">
        <v>7</v>
      </c>
      <c r="M50" s="23">
        <f t="shared" si="28"/>
        <v>131935</v>
      </c>
      <c r="N50">
        <v>82</v>
      </c>
      <c r="O50">
        <v>6</v>
      </c>
      <c r="P50">
        <v>6</v>
      </c>
      <c r="Q50" s="27">
        <f t="shared" si="29"/>
        <v>19758</v>
      </c>
      <c r="R50" s="28">
        <v>1868</v>
      </c>
      <c r="S50">
        <v>5</v>
      </c>
      <c r="T50">
        <v>9</v>
      </c>
      <c r="U50" s="24">
        <f t="shared" si="38"/>
        <v>1868.2874999999999</v>
      </c>
      <c r="V50" s="24">
        <f t="shared" si="30"/>
        <v>1868.2874999999999</v>
      </c>
      <c r="W50" s="28">
        <v>4697</v>
      </c>
      <c r="X50">
        <v>13</v>
      </c>
      <c r="Y50">
        <v>2</v>
      </c>
      <c r="Z50" s="28">
        <f t="shared" si="31"/>
        <v>1127438</v>
      </c>
      <c r="AA50">
        <v>831</v>
      </c>
      <c r="AB50">
        <v>5</v>
      </c>
      <c r="AC50">
        <v>0</v>
      </c>
      <c r="AD50" s="28">
        <f t="shared" si="32"/>
        <v>199500</v>
      </c>
      <c r="AE50">
        <v>997</v>
      </c>
      <c r="AF50">
        <v>14</v>
      </c>
      <c r="AG50">
        <v>9</v>
      </c>
      <c r="AH50" s="28">
        <f t="shared" si="33"/>
        <v>239457</v>
      </c>
      <c r="AI50">
        <v>104</v>
      </c>
      <c r="AJ50" s="16">
        <v>15</v>
      </c>
      <c r="AK50">
        <v>6</v>
      </c>
      <c r="AL50" s="28">
        <f t="shared" si="34"/>
        <v>25146</v>
      </c>
      <c r="AM50">
        <v>6826</v>
      </c>
      <c r="AN50">
        <v>5</v>
      </c>
      <c r="AO50">
        <v>2</v>
      </c>
      <c r="AP50" s="24">
        <f t="shared" si="39"/>
        <v>6826.2583333333332</v>
      </c>
      <c r="AQ50" s="36">
        <f t="shared" si="40"/>
        <v>6826.2583333333332</v>
      </c>
      <c r="AR50">
        <v>146</v>
      </c>
      <c r="AS50">
        <v>14</v>
      </c>
      <c r="AT50">
        <v>0</v>
      </c>
      <c r="AU50" s="36">
        <f>((240*AR50)+(12*AS50)+AT50)/240</f>
        <v>146.69999999999999</v>
      </c>
      <c r="AV50" s="116">
        <f t="shared" si="8"/>
        <v>8596.0666666666657</v>
      </c>
      <c r="AW50">
        <v>50</v>
      </c>
      <c r="AX50">
        <v>6</v>
      </c>
      <c r="AY50">
        <v>10</v>
      </c>
      <c r="AZ50" s="9">
        <f t="shared" si="35"/>
        <v>12082</v>
      </c>
      <c r="BA50">
        <v>194</v>
      </c>
      <c r="BB50">
        <v>16</v>
      </c>
      <c r="BC50">
        <v>9</v>
      </c>
      <c r="BD50">
        <f t="shared" si="36"/>
        <v>46761</v>
      </c>
      <c r="BH50" s="111">
        <f t="shared" si="37"/>
        <v>245.17916666666667</v>
      </c>
      <c r="BI50" s="102">
        <f t="shared" si="9"/>
        <v>8841.2458333333325</v>
      </c>
      <c r="BR50" s="36"/>
      <c r="BS50">
        <f>146+10394-1700</f>
        <v>8840</v>
      </c>
      <c r="BT50">
        <f>14+10</f>
        <v>24</v>
      </c>
      <c r="BU50">
        <f>0+11</f>
        <v>11</v>
      </c>
      <c r="BV50" s="28">
        <f t="shared" si="25"/>
        <v>8841.2458333333325</v>
      </c>
      <c r="BW50" s="28">
        <f t="shared" si="7"/>
        <v>8841.2458333333325</v>
      </c>
      <c r="BX50" s="128">
        <f>BW50/'RPI_1880-2010'!B49*100</f>
        <v>411603.62352576031</v>
      </c>
      <c r="BY50" t="s">
        <v>46</v>
      </c>
    </row>
    <row r="51" spans="1:77" x14ac:dyDescent="0.25">
      <c r="A51" s="29">
        <v>1928</v>
      </c>
      <c r="B51">
        <v>1250</v>
      </c>
      <c r="C51">
        <v>14</v>
      </c>
      <c r="D51">
        <v>1</v>
      </c>
      <c r="E51" s="27">
        <f t="shared" si="26"/>
        <v>300169</v>
      </c>
      <c r="F51">
        <v>213</v>
      </c>
      <c r="G51">
        <v>15</v>
      </c>
      <c r="H51">
        <v>0</v>
      </c>
      <c r="I51" s="27">
        <f t="shared" si="27"/>
        <v>51300</v>
      </c>
      <c r="J51">
        <v>534</v>
      </c>
      <c r="K51">
        <v>1</v>
      </c>
      <c r="L51">
        <v>9</v>
      </c>
      <c r="M51" s="23">
        <f t="shared" si="28"/>
        <v>128181</v>
      </c>
      <c r="N51">
        <v>46</v>
      </c>
      <c r="O51">
        <v>16</v>
      </c>
      <c r="P51">
        <v>3</v>
      </c>
      <c r="Q51" s="27">
        <f t="shared" si="29"/>
        <v>11235</v>
      </c>
      <c r="R51" s="28">
        <v>2110</v>
      </c>
      <c r="S51">
        <v>5</v>
      </c>
      <c r="T51">
        <v>3</v>
      </c>
      <c r="U51" s="24">
        <f t="shared" si="38"/>
        <v>2110.2624999999998</v>
      </c>
      <c r="V51" s="24">
        <f t="shared" si="30"/>
        <v>2110.2624999999998</v>
      </c>
      <c r="W51" s="28">
        <v>4774</v>
      </c>
      <c r="X51">
        <v>8</v>
      </c>
      <c r="Y51">
        <v>0</v>
      </c>
      <c r="Z51" s="28">
        <f t="shared" si="31"/>
        <v>1145856</v>
      </c>
      <c r="AA51">
        <v>969</v>
      </c>
      <c r="AB51">
        <v>15</v>
      </c>
      <c r="AC51">
        <v>10</v>
      </c>
      <c r="AD51" s="28">
        <f t="shared" si="32"/>
        <v>232750</v>
      </c>
      <c r="AE51">
        <v>960</v>
      </c>
      <c r="AF51">
        <v>16</v>
      </c>
      <c r="AG51">
        <v>2</v>
      </c>
      <c r="AH51" s="28">
        <f t="shared" si="33"/>
        <v>230594</v>
      </c>
      <c r="AI51">
        <v>101</v>
      </c>
      <c r="AJ51" s="16">
        <v>15</v>
      </c>
      <c r="AK51">
        <v>0</v>
      </c>
      <c r="AL51" s="28">
        <f t="shared" si="34"/>
        <v>24420</v>
      </c>
      <c r="AM51">
        <v>7036</v>
      </c>
      <c r="AN51">
        <v>14</v>
      </c>
      <c r="AO51">
        <v>10</v>
      </c>
      <c r="AP51" s="24">
        <f t="shared" si="39"/>
        <v>7036.7416666666668</v>
      </c>
      <c r="AQ51" s="36">
        <f t="shared" si="40"/>
        <v>7036.7416666666668</v>
      </c>
      <c r="AV51" s="116">
        <f t="shared" si="8"/>
        <v>8852.1041666666661</v>
      </c>
      <c r="AW51">
        <v>64</v>
      </c>
      <c r="AX51">
        <v>18</v>
      </c>
      <c r="AY51">
        <v>2</v>
      </c>
      <c r="AZ51" s="9">
        <f t="shared" si="35"/>
        <v>15578</v>
      </c>
      <c r="BA51">
        <v>229</v>
      </c>
      <c r="BB51">
        <v>19</v>
      </c>
      <c r="BC51">
        <v>10</v>
      </c>
      <c r="BD51">
        <f t="shared" si="36"/>
        <v>55198</v>
      </c>
      <c r="BH51" s="111">
        <f t="shared" si="37"/>
        <v>294.89999999999998</v>
      </c>
      <c r="BI51" s="102">
        <f t="shared" si="9"/>
        <v>9147.0041666666657</v>
      </c>
      <c r="BR51" s="36"/>
      <c r="BS51">
        <f>10842-1695</f>
        <v>9147</v>
      </c>
      <c r="BT51">
        <v>0</v>
      </c>
      <c r="BU51">
        <v>1</v>
      </c>
      <c r="BV51" s="28">
        <f t="shared" si="25"/>
        <v>9147.0041666666675</v>
      </c>
      <c r="BW51" s="28">
        <f t="shared" si="7"/>
        <v>9147.0041666666657</v>
      </c>
      <c r="BX51" s="128">
        <f>BW51/'RPI_1880-2010'!B50*100</f>
        <v>429840.42136591469</v>
      </c>
      <c r="BY51" t="s">
        <v>9</v>
      </c>
    </row>
    <row r="52" spans="1:77" x14ac:dyDescent="0.25">
      <c r="A52" s="29">
        <v>1929</v>
      </c>
      <c r="B52">
        <v>1154</v>
      </c>
      <c r="C52">
        <v>18</v>
      </c>
      <c r="D52">
        <v>11</v>
      </c>
      <c r="E52" s="27">
        <f t="shared" si="26"/>
        <v>277187</v>
      </c>
      <c r="F52">
        <v>150</v>
      </c>
      <c r="G52">
        <v>0</v>
      </c>
      <c r="H52">
        <v>0</v>
      </c>
      <c r="I52" s="27">
        <f t="shared" si="27"/>
        <v>36000</v>
      </c>
      <c r="J52">
        <v>326</v>
      </c>
      <c r="K52">
        <v>1</v>
      </c>
      <c r="L52">
        <v>11</v>
      </c>
      <c r="M52" s="23">
        <f t="shared" si="28"/>
        <v>78263</v>
      </c>
      <c r="N52">
        <v>45</v>
      </c>
      <c r="O52">
        <v>6</v>
      </c>
      <c r="P52">
        <v>0</v>
      </c>
      <c r="Q52" s="27">
        <f t="shared" si="29"/>
        <v>10872</v>
      </c>
      <c r="R52" s="28">
        <v>1735</v>
      </c>
      <c r="S52">
        <v>5</v>
      </c>
      <c r="T52">
        <v>3</v>
      </c>
      <c r="U52" s="24">
        <f t="shared" si="38"/>
        <v>1735.2625</v>
      </c>
      <c r="V52" s="24">
        <f t="shared" si="30"/>
        <v>1735.2625</v>
      </c>
      <c r="W52" s="28">
        <v>6104</v>
      </c>
      <c r="X52">
        <v>1</v>
      </c>
      <c r="Y52">
        <v>2</v>
      </c>
      <c r="Z52" s="28">
        <f t="shared" si="31"/>
        <v>1464974</v>
      </c>
      <c r="AA52">
        <v>1013</v>
      </c>
      <c r="AB52">
        <v>10</v>
      </c>
      <c r="AC52">
        <v>10</v>
      </c>
      <c r="AD52" s="28">
        <f t="shared" si="32"/>
        <v>243250</v>
      </c>
      <c r="AE52">
        <v>894</v>
      </c>
      <c r="AF52">
        <v>2</v>
      </c>
      <c r="AG52">
        <v>0</v>
      </c>
      <c r="AH52" s="28">
        <f t="shared" si="33"/>
        <v>214584</v>
      </c>
      <c r="AI52">
        <v>120</v>
      </c>
      <c r="AJ52" s="16">
        <v>17</v>
      </c>
      <c r="AK52">
        <v>6</v>
      </c>
      <c r="AL52" s="28">
        <f t="shared" si="34"/>
        <v>29010</v>
      </c>
      <c r="AM52">
        <v>8354</v>
      </c>
      <c r="AN52">
        <v>7</v>
      </c>
      <c r="AO52">
        <v>4</v>
      </c>
      <c r="AP52" s="24">
        <f t="shared" si="39"/>
        <v>8354.3666666666668</v>
      </c>
      <c r="AQ52" s="36">
        <f t="shared" si="40"/>
        <v>8354.3666666666668</v>
      </c>
      <c r="AV52" s="116">
        <f t="shared" si="8"/>
        <v>9808.9166666666679</v>
      </c>
      <c r="AW52">
        <v>58</v>
      </c>
      <c r="AX52">
        <v>18</v>
      </c>
      <c r="AY52">
        <v>5</v>
      </c>
      <c r="AZ52" s="9">
        <f t="shared" si="35"/>
        <v>14141</v>
      </c>
      <c r="BA52">
        <v>221</v>
      </c>
      <c r="BB52">
        <v>15</v>
      </c>
      <c r="BC52">
        <v>10</v>
      </c>
      <c r="BD52">
        <f t="shared" si="36"/>
        <v>53230</v>
      </c>
      <c r="BH52" s="111">
        <f t="shared" si="37"/>
        <v>280.71249999999998</v>
      </c>
      <c r="BI52" s="102">
        <f t="shared" si="9"/>
        <v>10089.629166666668</v>
      </c>
      <c r="BR52" s="36"/>
      <c r="BS52">
        <f>11649-1560</f>
        <v>10089</v>
      </c>
      <c r="BT52">
        <v>12</v>
      </c>
      <c r="BU52">
        <v>7</v>
      </c>
      <c r="BV52" s="28">
        <f t="shared" si="25"/>
        <v>10089.629166666668</v>
      </c>
      <c r="BW52" s="28">
        <f t="shared" si="7"/>
        <v>10089.629166666668</v>
      </c>
      <c r="BX52" s="128">
        <f>BW52/'RPI_1880-2010'!B51*100</f>
        <v>478408.21084242145</v>
      </c>
      <c r="BY52" t="s">
        <v>50</v>
      </c>
    </row>
    <row r="53" spans="1:77" x14ac:dyDescent="0.25">
      <c r="A53" s="29">
        <v>1930</v>
      </c>
      <c r="B53">
        <v>1328</v>
      </c>
      <c r="C53">
        <v>1</v>
      </c>
      <c r="D53">
        <v>7</v>
      </c>
      <c r="E53" s="27">
        <f t="shared" si="26"/>
        <v>318739</v>
      </c>
      <c r="F53">
        <v>200</v>
      </c>
      <c r="G53">
        <v>0</v>
      </c>
      <c r="H53">
        <v>0</v>
      </c>
      <c r="I53" s="27">
        <f t="shared" si="27"/>
        <v>48000</v>
      </c>
      <c r="J53">
        <v>547</v>
      </c>
      <c r="K53">
        <v>11</v>
      </c>
      <c r="L53">
        <v>5</v>
      </c>
      <c r="M53" s="23">
        <f t="shared" si="28"/>
        <v>131417</v>
      </c>
      <c r="N53">
        <v>74</v>
      </c>
      <c r="O53">
        <v>7</v>
      </c>
      <c r="P53">
        <v>0</v>
      </c>
      <c r="Q53" s="27">
        <f t="shared" si="29"/>
        <v>17844</v>
      </c>
      <c r="R53" s="28">
        <v>2265</v>
      </c>
      <c r="S53">
        <v>10</v>
      </c>
      <c r="T53">
        <v>2</v>
      </c>
      <c r="U53" s="24">
        <f t="shared" si="38"/>
        <v>2265.5083333333332</v>
      </c>
      <c r="V53" s="24">
        <f t="shared" si="30"/>
        <v>2265.5083333333332</v>
      </c>
      <c r="W53">
        <v>4600</v>
      </c>
      <c r="X53">
        <v>2</v>
      </c>
      <c r="Y53">
        <v>3</v>
      </c>
      <c r="Z53" s="28">
        <f>(W53*240)+(X53*12)+Y53</f>
        <v>1104027</v>
      </c>
      <c r="AA53" s="28">
        <v>875</v>
      </c>
      <c r="AB53">
        <v>0</v>
      </c>
      <c r="AC53">
        <v>0</v>
      </c>
      <c r="AD53" s="28">
        <f>(AA53*240)+(AB53*12)+AC53</f>
        <v>210000</v>
      </c>
      <c r="AE53">
        <v>1120</v>
      </c>
      <c r="AF53">
        <v>18</v>
      </c>
      <c r="AG53">
        <v>0</v>
      </c>
      <c r="AH53" s="28">
        <f t="shared" si="33"/>
        <v>269016</v>
      </c>
      <c r="AI53">
        <v>115</v>
      </c>
      <c r="AJ53" s="16">
        <v>12</v>
      </c>
      <c r="AK53">
        <v>0</v>
      </c>
      <c r="AL53" s="28">
        <f t="shared" si="34"/>
        <v>27744</v>
      </c>
      <c r="AM53">
        <v>7019</v>
      </c>
      <c r="AN53">
        <v>9</v>
      </c>
      <c r="AO53">
        <v>6</v>
      </c>
      <c r="AP53" s="24">
        <f t="shared" si="39"/>
        <v>7019.4750000000004</v>
      </c>
      <c r="AQ53" s="36">
        <f>(AD53+Z53+AH53+AL53+BD53)/240</f>
        <v>7019.4750000000004</v>
      </c>
      <c r="AR53">
        <v>120</v>
      </c>
      <c r="AS53">
        <v>2</v>
      </c>
      <c r="AT53">
        <v>11</v>
      </c>
      <c r="AU53" s="24">
        <f t="shared" ref="AU53:AU62" si="41">((240*AR53)+(12*AS53)+AT53)/240</f>
        <v>120.14583333333333</v>
      </c>
      <c r="AV53" s="116">
        <f t="shared" si="8"/>
        <v>8981.7583333333332</v>
      </c>
      <c r="AW53">
        <v>115</v>
      </c>
      <c r="AX53">
        <v>10</v>
      </c>
      <c r="AY53">
        <v>2</v>
      </c>
      <c r="AZ53" s="9">
        <f t="shared" si="35"/>
        <v>27722</v>
      </c>
      <c r="BA53">
        <v>307</v>
      </c>
      <c r="BB53">
        <v>17</v>
      </c>
      <c r="BC53">
        <v>3</v>
      </c>
      <c r="BD53">
        <f t="shared" si="36"/>
        <v>73887</v>
      </c>
      <c r="BH53" s="111">
        <f t="shared" si="37"/>
        <v>423.37083333333334</v>
      </c>
      <c r="BI53" s="102">
        <f t="shared" si="9"/>
        <v>9405.1291666666657</v>
      </c>
      <c r="BR53" s="36"/>
      <c r="BS53">
        <f>10844-1560+120</f>
        <v>9404</v>
      </c>
      <c r="BT53">
        <f>19+2</f>
        <v>21</v>
      </c>
      <c r="BU53">
        <f>8+11</f>
        <v>19</v>
      </c>
      <c r="BV53" s="28">
        <f t="shared" si="25"/>
        <v>9405.1291666666675</v>
      </c>
      <c r="BW53" s="28">
        <f t="shared" si="7"/>
        <v>9405.1291666666657</v>
      </c>
      <c r="BX53" s="128">
        <f>BW53/'RPI_1880-2010'!B52*100</f>
        <v>463763.76561472705</v>
      </c>
      <c r="BY53" t="s">
        <v>190</v>
      </c>
    </row>
    <row r="54" spans="1:77" x14ac:dyDescent="0.25">
      <c r="A54" s="29">
        <v>1931</v>
      </c>
      <c r="B54">
        <v>1443</v>
      </c>
      <c r="C54">
        <v>14</v>
      </c>
      <c r="D54">
        <v>3</v>
      </c>
      <c r="E54" s="28">
        <f t="shared" si="26"/>
        <v>346491</v>
      </c>
      <c r="F54">
        <v>197</v>
      </c>
      <c r="G54">
        <v>2</v>
      </c>
      <c r="H54">
        <v>0</v>
      </c>
      <c r="I54" s="28">
        <f t="shared" si="27"/>
        <v>47304</v>
      </c>
      <c r="J54">
        <v>292</v>
      </c>
      <c r="K54">
        <v>19</v>
      </c>
      <c r="L54">
        <v>3</v>
      </c>
      <c r="M54" s="24">
        <f t="shared" si="28"/>
        <v>70311</v>
      </c>
      <c r="N54">
        <v>109</v>
      </c>
      <c r="O54">
        <v>2</v>
      </c>
      <c r="P54">
        <v>0</v>
      </c>
      <c r="Q54" s="28">
        <f t="shared" si="29"/>
        <v>26184</v>
      </c>
      <c r="R54" s="28">
        <v>2163</v>
      </c>
      <c r="S54">
        <v>9</v>
      </c>
      <c r="T54">
        <v>0</v>
      </c>
      <c r="U54" s="24">
        <f t="shared" si="38"/>
        <v>2163.4499999999998</v>
      </c>
      <c r="V54" s="24">
        <f t="shared" si="30"/>
        <v>2163.4499999999998</v>
      </c>
      <c r="W54" s="28">
        <v>5165</v>
      </c>
      <c r="X54">
        <v>14</v>
      </c>
      <c r="Y54">
        <v>1</v>
      </c>
      <c r="Z54" s="28">
        <f t="shared" si="31"/>
        <v>1239769</v>
      </c>
      <c r="AA54">
        <v>977</v>
      </c>
      <c r="AB54">
        <v>10</v>
      </c>
      <c r="AC54">
        <v>0</v>
      </c>
      <c r="AD54" s="28">
        <f t="shared" si="32"/>
        <v>234600</v>
      </c>
      <c r="AE54">
        <v>1042</v>
      </c>
      <c r="AF54">
        <v>16</v>
      </c>
      <c r="AG54">
        <v>2</v>
      </c>
      <c r="AH54" s="28">
        <f t="shared" si="33"/>
        <v>250274</v>
      </c>
      <c r="AI54" s="28">
        <v>64</v>
      </c>
      <c r="AJ54" s="46">
        <v>10</v>
      </c>
      <c r="AK54" s="47">
        <v>0</v>
      </c>
      <c r="AL54" s="28">
        <f t="shared" si="34"/>
        <v>15480</v>
      </c>
      <c r="AM54" s="28">
        <v>7596</v>
      </c>
      <c r="AN54" s="47">
        <v>8</v>
      </c>
      <c r="AO54" s="47">
        <v>3</v>
      </c>
      <c r="AP54" s="24">
        <f t="shared" si="39"/>
        <v>7596.4125000000004</v>
      </c>
      <c r="AQ54" s="36">
        <f t="shared" si="40"/>
        <v>7596.4125000000004</v>
      </c>
      <c r="AV54" s="116">
        <f t="shared" si="8"/>
        <v>9293.3874999999989</v>
      </c>
      <c r="AW54">
        <v>120</v>
      </c>
      <c r="AX54">
        <v>11</v>
      </c>
      <c r="AY54">
        <v>6</v>
      </c>
      <c r="AZ54" s="9">
        <f t="shared" si="35"/>
        <v>28938</v>
      </c>
      <c r="BA54" s="9">
        <v>345</v>
      </c>
      <c r="BB54" s="9">
        <v>18</v>
      </c>
      <c r="BC54" s="9">
        <v>0</v>
      </c>
      <c r="BD54">
        <f t="shared" si="36"/>
        <v>83016</v>
      </c>
      <c r="BH54" s="111">
        <f t="shared" si="37"/>
        <v>466.47500000000002</v>
      </c>
      <c r="BI54" s="102">
        <f t="shared" si="9"/>
        <v>9759.8624999999993</v>
      </c>
      <c r="BR54" s="36"/>
      <c r="BS54">
        <f>11124-1365</f>
        <v>9759</v>
      </c>
      <c r="BT54">
        <v>17</v>
      </c>
      <c r="BU54">
        <v>3</v>
      </c>
      <c r="BV54" s="28">
        <f t="shared" si="25"/>
        <v>9759.8624999999993</v>
      </c>
      <c r="BW54" s="28">
        <f t="shared" si="7"/>
        <v>9759.8624999999993</v>
      </c>
      <c r="BX54" s="128">
        <f>BW54/'RPI_1880-2010'!B53*100</f>
        <v>517215.81875993632</v>
      </c>
      <c r="BY54" s="10" t="s">
        <v>10</v>
      </c>
    </row>
    <row r="55" spans="1:77" ht="15" customHeight="1" x14ac:dyDescent="0.25">
      <c r="A55" s="29">
        <v>1932</v>
      </c>
      <c r="B55">
        <v>892</v>
      </c>
      <c r="C55">
        <v>8</v>
      </c>
      <c r="D55">
        <v>1</v>
      </c>
      <c r="E55" s="28">
        <f t="shared" si="26"/>
        <v>214177</v>
      </c>
      <c r="F55">
        <v>146</v>
      </c>
      <c r="G55">
        <v>5</v>
      </c>
      <c r="H55">
        <v>0</v>
      </c>
      <c r="I55" s="28">
        <f t="shared" si="27"/>
        <v>35100</v>
      </c>
      <c r="J55">
        <v>590</v>
      </c>
      <c r="K55">
        <v>7</v>
      </c>
      <c r="L55">
        <v>8</v>
      </c>
      <c r="M55" s="24">
        <f t="shared" si="28"/>
        <v>141692</v>
      </c>
      <c r="N55">
        <v>76</v>
      </c>
      <c r="O55">
        <v>9</v>
      </c>
      <c r="P55">
        <v>0</v>
      </c>
      <c r="Q55" s="28">
        <f t="shared" si="29"/>
        <v>18348</v>
      </c>
      <c r="R55" s="42">
        <v>1838</v>
      </c>
      <c r="S55" s="41">
        <v>16</v>
      </c>
      <c r="T55" s="41">
        <v>1</v>
      </c>
      <c r="U55" s="24">
        <f t="shared" si="38"/>
        <v>1838.8041666666666</v>
      </c>
      <c r="V55" s="24">
        <f t="shared" si="30"/>
        <v>1838.8041666666666</v>
      </c>
      <c r="W55" s="28">
        <v>5195</v>
      </c>
      <c r="X55">
        <v>15</v>
      </c>
      <c r="Y55">
        <v>5</v>
      </c>
      <c r="Z55" s="28">
        <f t="shared" si="31"/>
        <v>1246985</v>
      </c>
      <c r="AA55">
        <v>970</v>
      </c>
      <c r="AB55">
        <v>0</v>
      </c>
      <c r="AC55">
        <v>0</v>
      </c>
      <c r="AD55" s="28">
        <f t="shared" si="32"/>
        <v>232800</v>
      </c>
      <c r="AE55">
        <v>922</v>
      </c>
      <c r="AF55">
        <v>12</v>
      </c>
      <c r="AG55">
        <v>0</v>
      </c>
      <c r="AH55" s="28">
        <f t="shared" si="33"/>
        <v>221424</v>
      </c>
      <c r="AI55" s="28">
        <v>125</v>
      </c>
      <c r="AJ55" s="46">
        <v>18</v>
      </c>
      <c r="AK55" s="47">
        <v>6</v>
      </c>
      <c r="AL55" s="28">
        <f t="shared" si="34"/>
        <v>30222</v>
      </c>
      <c r="AM55" s="28">
        <v>7575</v>
      </c>
      <c r="AN55" s="47">
        <v>16</v>
      </c>
      <c r="AO55" s="47">
        <v>6</v>
      </c>
      <c r="AP55" s="24">
        <f t="shared" si="39"/>
        <v>7575.8249999999998</v>
      </c>
      <c r="AQ55" s="36">
        <f t="shared" si="40"/>
        <v>7575.8249999999998</v>
      </c>
      <c r="AR55">
        <v>126</v>
      </c>
      <c r="AS55">
        <v>11</v>
      </c>
      <c r="AT55">
        <v>6</v>
      </c>
      <c r="AU55" s="24">
        <f t="shared" si="41"/>
        <v>126.575</v>
      </c>
      <c r="AV55" s="116">
        <f t="shared" si="8"/>
        <v>9046.3583333333336</v>
      </c>
      <c r="AW55">
        <v>133</v>
      </c>
      <c r="AX55">
        <v>6</v>
      </c>
      <c r="AY55">
        <v>4</v>
      </c>
      <c r="AZ55" s="9">
        <f t="shared" si="35"/>
        <v>31996</v>
      </c>
      <c r="BA55" s="9">
        <v>361</v>
      </c>
      <c r="BB55" s="9">
        <v>10</v>
      </c>
      <c r="BC55" s="9">
        <v>7</v>
      </c>
      <c r="BD55">
        <f t="shared" si="36"/>
        <v>86767</v>
      </c>
      <c r="BH55" s="111">
        <f t="shared" si="37"/>
        <v>494.84583333333336</v>
      </c>
      <c r="BI55" s="102">
        <f t="shared" si="9"/>
        <v>9541.2041666666664</v>
      </c>
      <c r="BR55" s="36"/>
      <c r="BS55">
        <f>11244-1830+126</f>
        <v>9540</v>
      </c>
      <c r="BT55">
        <f>12+11</f>
        <v>23</v>
      </c>
      <c r="BU55">
        <f>7+6</f>
        <v>13</v>
      </c>
      <c r="BV55" s="28">
        <f t="shared" si="25"/>
        <v>9541.2041666666664</v>
      </c>
      <c r="BW55" s="28">
        <f t="shared" si="7"/>
        <v>9541.2041666666664</v>
      </c>
      <c r="BX55" s="128">
        <f>BW55/'RPI_1880-2010'!B54*100</f>
        <v>516578.46056668466</v>
      </c>
      <c r="BY55" s="10" t="s">
        <v>92</v>
      </c>
    </row>
    <row r="56" spans="1:77" x14ac:dyDescent="0.25">
      <c r="A56" s="29">
        <v>1933</v>
      </c>
      <c r="B56">
        <v>1402</v>
      </c>
      <c r="C56">
        <v>3</v>
      </c>
      <c r="D56">
        <v>3</v>
      </c>
      <c r="E56" s="28">
        <f t="shared" si="26"/>
        <v>336519</v>
      </c>
      <c r="F56">
        <v>243</v>
      </c>
      <c r="G56">
        <v>15</v>
      </c>
      <c r="H56">
        <v>0</v>
      </c>
      <c r="I56" s="28">
        <f t="shared" si="27"/>
        <v>58500</v>
      </c>
      <c r="J56">
        <v>472</v>
      </c>
      <c r="K56">
        <v>18</v>
      </c>
      <c r="L56">
        <v>4</v>
      </c>
      <c r="M56" s="24">
        <f t="shared" si="28"/>
        <v>113500</v>
      </c>
      <c r="N56">
        <v>34</v>
      </c>
      <c r="O56">
        <v>11</v>
      </c>
      <c r="P56">
        <v>0</v>
      </c>
      <c r="Q56" s="42">
        <f t="shared" si="29"/>
        <v>8292</v>
      </c>
      <c r="R56" s="42">
        <v>2320</v>
      </c>
      <c r="S56" s="41">
        <v>14</v>
      </c>
      <c r="T56" s="41">
        <v>1</v>
      </c>
      <c r="U56" s="48">
        <f t="shared" si="38"/>
        <v>2320.7041666666669</v>
      </c>
      <c r="V56" s="24">
        <f t="shared" si="30"/>
        <v>2320.7041666666669</v>
      </c>
      <c r="W56" s="28">
        <v>5230</v>
      </c>
      <c r="X56">
        <v>18</v>
      </c>
      <c r="Y56">
        <v>11</v>
      </c>
      <c r="Z56" s="28">
        <f t="shared" si="31"/>
        <v>1255427</v>
      </c>
      <c r="AA56">
        <v>970</v>
      </c>
      <c r="AB56">
        <v>0</v>
      </c>
      <c r="AC56">
        <v>0</v>
      </c>
      <c r="AD56" s="28">
        <f t="shared" si="32"/>
        <v>232800</v>
      </c>
      <c r="AE56">
        <v>916</v>
      </c>
      <c r="AF56">
        <v>19</v>
      </c>
      <c r="AG56">
        <v>10</v>
      </c>
      <c r="AH56" s="28">
        <f t="shared" si="33"/>
        <v>220078</v>
      </c>
      <c r="AI56" s="28">
        <v>79</v>
      </c>
      <c r="AJ56" s="46">
        <v>19</v>
      </c>
      <c r="AK56" s="47">
        <v>6</v>
      </c>
      <c r="AL56" s="28">
        <f t="shared" si="34"/>
        <v>19194</v>
      </c>
      <c r="AM56" s="28">
        <v>7531</v>
      </c>
      <c r="AN56" s="47">
        <v>4</v>
      </c>
      <c r="AO56" s="47">
        <v>8</v>
      </c>
      <c r="AP56" s="24">
        <f t="shared" si="39"/>
        <v>7531.2333333333336</v>
      </c>
      <c r="AQ56" s="36">
        <f t="shared" si="40"/>
        <v>7531.2333333333336</v>
      </c>
      <c r="AV56" s="116">
        <f t="shared" si="8"/>
        <v>9351.2916666666661</v>
      </c>
      <c r="AW56">
        <v>167</v>
      </c>
      <c r="AX56">
        <v>6</v>
      </c>
      <c r="AY56">
        <v>6</v>
      </c>
      <c r="AZ56" s="9">
        <f t="shared" si="35"/>
        <v>40158</v>
      </c>
      <c r="BA56" s="9">
        <v>333</v>
      </c>
      <c r="BB56" s="9">
        <v>6</v>
      </c>
      <c r="BC56" s="9">
        <v>5</v>
      </c>
      <c r="BD56">
        <f t="shared" si="36"/>
        <v>79997</v>
      </c>
      <c r="BH56" s="111">
        <f t="shared" si="37"/>
        <v>500.64583333333331</v>
      </c>
      <c r="BI56" s="102">
        <f t="shared" si="9"/>
        <v>9851.9375</v>
      </c>
      <c r="BR56" s="36"/>
      <c r="BS56">
        <f>11691-1840</f>
        <v>9851</v>
      </c>
      <c r="BT56">
        <v>18</v>
      </c>
      <c r="BU56">
        <v>9</v>
      </c>
      <c r="BV56" s="28">
        <f t="shared" si="25"/>
        <v>9851.9375</v>
      </c>
      <c r="BW56" s="28">
        <f t="shared" si="7"/>
        <v>9851.9375</v>
      </c>
      <c r="BX56" s="128">
        <f>BW56/'RPI_1880-2010'!B55*100</f>
        <v>545511.48947951267</v>
      </c>
      <c r="BY56" s="35" t="s">
        <v>54</v>
      </c>
    </row>
    <row r="57" spans="1:77" x14ac:dyDescent="0.25">
      <c r="A57" s="29">
        <v>1934</v>
      </c>
      <c r="B57">
        <v>1829</v>
      </c>
      <c r="C57">
        <v>8</v>
      </c>
      <c r="D57">
        <v>0</v>
      </c>
      <c r="E57" s="28">
        <f t="shared" si="26"/>
        <v>439056</v>
      </c>
      <c r="F57">
        <v>352</v>
      </c>
      <c r="G57">
        <v>18</v>
      </c>
      <c r="H57">
        <v>5</v>
      </c>
      <c r="I57" s="28">
        <f t="shared" si="27"/>
        <v>84701</v>
      </c>
      <c r="J57">
        <v>555</v>
      </c>
      <c r="K57">
        <v>18</v>
      </c>
      <c r="L57">
        <v>4</v>
      </c>
      <c r="M57" s="24">
        <f t="shared" si="28"/>
        <v>133420</v>
      </c>
      <c r="N57">
        <v>74</v>
      </c>
      <c r="O57">
        <v>14</v>
      </c>
      <c r="P57">
        <v>6</v>
      </c>
      <c r="Q57" s="42">
        <f t="shared" si="29"/>
        <v>17934</v>
      </c>
      <c r="R57" s="42">
        <v>2974</v>
      </c>
      <c r="S57" s="41">
        <v>9</v>
      </c>
      <c r="T57" s="41">
        <v>10</v>
      </c>
      <c r="U57" s="23">
        <f t="shared" si="38"/>
        <v>2974.4916666666668</v>
      </c>
      <c r="V57" s="24">
        <f t="shared" si="30"/>
        <v>2974.4916666666668</v>
      </c>
      <c r="W57" s="28">
        <v>4625</v>
      </c>
      <c r="X57">
        <v>1</v>
      </c>
      <c r="Y57">
        <v>2</v>
      </c>
      <c r="Z57" s="28">
        <f t="shared" si="31"/>
        <v>1110014</v>
      </c>
      <c r="AA57">
        <v>999</v>
      </c>
      <c r="AB57">
        <v>19</v>
      </c>
      <c r="AC57">
        <v>6</v>
      </c>
      <c r="AD57" s="28">
        <f t="shared" si="32"/>
        <v>239994</v>
      </c>
      <c r="AE57">
        <v>1007</v>
      </c>
      <c r="AF57">
        <v>4</v>
      </c>
      <c r="AG57">
        <v>3</v>
      </c>
      <c r="AH57" s="28">
        <f t="shared" si="33"/>
        <v>241731</v>
      </c>
      <c r="AI57" s="28">
        <v>105</v>
      </c>
      <c r="AJ57" s="46">
        <v>0</v>
      </c>
      <c r="AK57" s="28">
        <v>0</v>
      </c>
      <c r="AL57" s="28">
        <f t="shared" si="34"/>
        <v>25200</v>
      </c>
      <c r="AM57" s="28">
        <v>7072</v>
      </c>
      <c r="AN57" s="47">
        <v>18</v>
      </c>
      <c r="AO57" s="47">
        <v>0</v>
      </c>
      <c r="AP57" s="24">
        <f t="shared" si="39"/>
        <v>7072.9</v>
      </c>
      <c r="AQ57" s="36">
        <f t="shared" si="40"/>
        <v>7072.9</v>
      </c>
      <c r="AR57">
        <f>143+135</f>
        <v>278</v>
      </c>
      <c r="AS57">
        <f>6+9</f>
        <v>15</v>
      </c>
      <c r="AT57">
        <f>3+4</f>
        <v>7</v>
      </c>
      <c r="AU57" s="24">
        <f t="shared" si="41"/>
        <v>278.77916666666664</v>
      </c>
      <c r="AV57" s="116">
        <f t="shared" si="8"/>
        <v>9828.9875000000011</v>
      </c>
      <c r="AW57">
        <v>161</v>
      </c>
      <c r="AX57">
        <v>10</v>
      </c>
      <c r="AY57">
        <v>7</v>
      </c>
      <c r="AZ57" s="9">
        <f t="shared" si="35"/>
        <v>38767</v>
      </c>
      <c r="BA57" s="9">
        <v>335</v>
      </c>
      <c r="BB57" s="9">
        <v>13</v>
      </c>
      <c r="BC57" s="9">
        <v>1</v>
      </c>
      <c r="BD57">
        <f t="shared" si="36"/>
        <v>80557</v>
      </c>
      <c r="BH57" s="111">
        <f t="shared" si="37"/>
        <v>497.18333333333334</v>
      </c>
      <c r="BI57" s="102">
        <f t="shared" si="9"/>
        <v>10326.170833333334</v>
      </c>
      <c r="BR57" s="36"/>
      <c r="BS57">
        <f>135+10190</f>
        <v>10325</v>
      </c>
      <c r="BT57">
        <f>14+9</f>
        <v>23</v>
      </c>
      <c r="BU57">
        <f>1+4</f>
        <v>5</v>
      </c>
      <c r="BV57" s="28">
        <f t="shared" si="25"/>
        <v>10326.170833333334</v>
      </c>
      <c r="BW57" s="28">
        <f t="shared" si="7"/>
        <v>10326.170833333334</v>
      </c>
      <c r="BX57" s="128">
        <f>BW57/'RPI_1880-2010'!B56*100</f>
        <v>571770.25655223336</v>
      </c>
      <c r="BY57" s="35" t="s">
        <v>57</v>
      </c>
    </row>
    <row r="58" spans="1:77" x14ac:dyDescent="0.25">
      <c r="A58" s="29">
        <v>1935</v>
      </c>
      <c r="B58">
        <v>1986</v>
      </c>
      <c r="C58">
        <v>17</v>
      </c>
      <c r="D58">
        <v>0</v>
      </c>
      <c r="E58" s="28">
        <f t="shared" si="26"/>
        <v>476844</v>
      </c>
      <c r="F58">
        <v>370</v>
      </c>
      <c r="G58">
        <v>0</v>
      </c>
      <c r="H58">
        <v>10</v>
      </c>
      <c r="I58" s="28">
        <f t="shared" si="27"/>
        <v>88810</v>
      </c>
      <c r="J58">
        <v>485</v>
      </c>
      <c r="K58">
        <v>12</v>
      </c>
      <c r="L58">
        <v>8</v>
      </c>
      <c r="M58" s="24">
        <f t="shared" si="28"/>
        <v>116552</v>
      </c>
      <c r="N58">
        <v>147</v>
      </c>
      <c r="O58">
        <v>17</v>
      </c>
      <c r="P58">
        <v>6</v>
      </c>
      <c r="Q58" s="42">
        <f t="shared" si="29"/>
        <v>35490</v>
      </c>
      <c r="R58" s="42">
        <v>3134</v>
      </c>
      <c r="S58" s="41">
        <v>13</v>
      </c>
      <c r="T58" s="41">
        <v>11</v>
      </c>
      <c r="U58" s="48">
        <f t="shared" si="38"/>
        <v>3134.6958333333332</v>
      </c>
      <c r="V58" s="24">
        <f t="shared" si="30"/>
        <v>3134.6958333333332</v>
      </c>
      <c r="W58" s="28">
        <v>5602</v>
      </c>
      <c r="X58">
        <v>3</v>
      </c>
      <c r="Y58">
        <v>5</v>
      </c>
      <c r="Z58" s="28">
        <f t="shared" si="31"/>
        <v>1344521</v>
      </c>
      <c r="AA58">
        <v>1257</v>
      </c>
      <c r="AB58">
        <v>17</v>
      </c>
      <c r="AC58">
        <v>3</v>
      </c>
      <c r="AD58" s="28">
        <f t="shared" si="32"/>
        <v>301887</v>
      </c>
      <c r="AE58">
        <v>1066</v>
      </c>
      <c r="AF58">
        <v>11</v>
      </c>
      <c r="AG58">
        <v>3</v>
      </c>
      <c r="AH58" s="28">
        <f t="shared" si="33"/>
        <v>255975</v>
      </c>
      <c r="AI58" s="28">
        <v>91</v>
      </c>
      <c r="AJ58" s="45">
        <v>17</v>
      </c>
      <c r="AK58" s="28">
        <v>6</v>
      </c>
      <c r="AL58" s="28">
        <f t="shared" si="34"/>
        <v>22050</v>
      </c>
      <c r="AM58" s="28">
        <v>8445</v>
      </c>
      <c r="AN58" s="47">
        <v>3</v>
      </c>
      <c r="AO58" s="47">
        <v>10</v>
      </c>
      <c r="AP58" s="24">
        <f t="shared" si="39"/>
        <v>8445.1916666666675</v>
      </c>
      <c r="AQ58" s="36">
        <f t="shared" si="40"/>
        <v>8445.1916666666675</v>
      </c>
      <c r="AR58">
        <f>235+215</f>
        <v>450</v>
      </c>
      <c r="AS58">
        <f>15+8</f>
        <v>23</v>
      </c>
      <c r="AT58">
        <f>5+5</f>
        <v>10</v>
      </c>
      <c r="AU58" s="24">
        <f t="shared" si="41"/>
        <v>451.19166666666666</v>
      </c>
      <c r="AV58" s="116">
        <f t="shared" si="8"/>
        <v>11460.062500000002</v>
      </c>
      <c r="AW58">
        <v>144</v>
      </c>
      <c r="AX58">
        <v>5</v>
      </c>
      <c r="AY58">
        <v>11</v>
      </c>
      <c r="AZ58" s="9">
        <f t="shared" si="35"/>
        <v>34631</v>
      </c>
      <c r="BA58" s="9">
        <v>426</v>
      </c>
      <c r="BB58" s="9">
        <v>14</v>
      </c>
      <c r="BC58" s="9">
        <v>5</v>
      </c>
      <c r="BD58">
        <f t="shared" si="36"/>
        <v>102413</v>
      </c>
      <c r="BH58" s="111">
        <f t="shared" si="37"/>
        <v>571.01666666666665</v>
      </c>
      <c r="BI58" s="102">
        <f t="shared" si="9"/>
        <v>12031.079166666668</v>
      </c>
      <c r="BR58" s="36"/>
      <c r="BS58">
        <f>11815+215</f>
        <v>12030</v>
      </c>
      <c r="BT58">
        <f>13+8</f>
        <v>21</v>
      </c>
      <c r="BU58">
        <f>2+5</f>
        <v>7</v>
      </c>
      <c r="BV58" s="28">
        <f t="shared" si="25"/>
        <v>12031.079166666666</v>
      </c>
      <c r="BW58" s="28">
        <f t="shared" si="7"/>
        <v>12031.079166666668</v>
      </c>
      <c r="BX58" s="128">
        <f>BW58/'RPI_1880-2010'!B57*100</f>
        <v>651384.90344703128</v>
      </c>
      <c r="BY58" s="35" t="s">
        <v>94</v>
      </c>
    </row>
    <row r="59" spans="1:77" x14ac:dyDescent="0.25">
      <c r="A59" s="70">
        <v>1936</v>
      </c>
      <c r="B59">
        <v>1305</v>
      </c>
      <c r="C59">
        <v>8</v>
      </c>
      <c r="D59">
        <v>5</v>
      </c>
      <c r="E59" s="28">
        <f t="shared" si="26"/>
        <v>313301</v>
      </c>
      <c r="F59">
        <v>313</v>
      </c>
      <c r="G59">
        <v>15</v>
      </c>
      <c r="H59">
        <v>2</v>
      </c>
      <c r="I59" s="28">
        <f t="shared" si="27"/>
        <v>75302</v>
      </c>
      <c r="J59">
        <v>555</v>
      </c>
      <c r="K59">
        <v>6</v>
      </c>
      <c r="L59">
        <v>8</v>
      </c>
      <c r="M59" s="24">
        <f t="shared" si="28"/>
        <v>133280</v>
      </c>
      <c r="N59">
        <v>74</v>
      </c>
      <c r="O59">
        <v>15</v>
      </c>
      <c r="P59">
        <v>0</v>
      </c>
      <c r="Q59" s="42">
        <f t="shared" si="29"/>
        <v>17940</v>
      </c>
      <c r="R59" s="42">
        <v>2402</v>
      </c>
      <c r="S59" s="41">
        <v>17</v>
      </c>
      <c r="T59" s="41">
        <v>3</v>
      </c>
      <c r="U59" s="48">
        <f t="shared" si="38"/>
        <v>2402.8625000000002</v>
      </c>
      <c r="V59" s="24">
        <f t="shared" si="30"/>
        <v>2402.8625000000002</v>
      </c>
      <c r="W59" s="28">
        <v>5266</v>
      </c>
      <c r="X59">
        <v>16</v>
      </c>
      <c r="Y59">
        <v>8</v>
      </c>
      <c r="Z59" s="28">
        <f t="shared" si="31"/>
        <v>1264040</v>
      </c>
      <c r="AA59">
        <v>1242</v>
      </c>
      <c r="AB59">
        <v>7</v>
      </c>
      <c r="AC59">
        <v>9</v>
      </c>
      <c r="AD59" s="28">
        <f t="shared" si="32"/>
        <v>298173</v>
      </c>
      <c r="AE59">
        <v>1076</v>
      </c>
      <c r="AF59">
        <v>2</v>
      </c>
      <c r="AG59">
        <v>10</v>
      </c>
      <c r="AH59" s="28">
        <f t="shared" si="33"/>
        <v>258274</v>
      </c>
      <c r="AI59" s="28">
        <v>105</v>
      </c>
      <c r="AJ59" s="45">
        <v>9</v>
      </c>
      <c r="AK59" s="28">
        <v>6</v>
      </c>
      <c r="AL59" s="28">
        <f t="shared" si="34"/>
        <v>25314</v>
      </c>
      <c r="AM59" s="28">
        <v>8114</v>
      </c>
      <c r="AN59" s="47">
        <v>9</v>
      </c>
      <c r="AO59" s="47">
        <v>11</v>
      </c>
      <c r="AP59" s="24">
        <f t="shared" si="39"/>
        <v>8114.4958333333334</v>
      </c>
      <c r="AQ59" s="36">
        <f t="shared" si="40"/>
        <v>8114.4958333333334</v>
      </c>
      <c r="AR59">
        <f>139+330</f>
        <v>469</v>
      </c>
      <c r="AS59">
        <f>18+3</f>
        <v>21</v>
      </c>
      <c r="AT59">
        <f>0+8</f>
        <v>8</v>
      </c>
      <c r="AU59" s="24">
        <f t="shared" si="41"/>
        <v>470.08333333333331</v>
      </c>
      <c r="AV59" s="116">
        <f t="shared" si="8"/>
        <v>10410.183333333332</v>
      </c>
      <c r="AW59">
        <v>153</v>
      </c>
      <c r="AX59">
        <v>12</v>
      </c>
      <c r="AY59">
        <v>0</v>
      </c>
      <c r="AZ59" s="9">
        <f t="shared" si="35"/>
        <v>36864</v>
      </c>
      <c r="BA59" s="9">
        <v>423</v>
      </c>
      <c r="BB59" s="9">
        <v>13</v>
      </c>
      <c r="BC59" s="9">
        <v>2</v>
      </c>
      <c r="BD59">
        <f t="shared" si="36"/>
        <v>101678</v>
      </c>
      <c r="BH59" s="111">
        <f t="shared" si="37"/>
        <v>577.25833333333333</v>
      </c>
      <c r="BI59" s="102">
        <f t="shared" si="9"/>
        <v>10987.441666666666</v>
      </c>
      <c r="BM59" s="36"/>
      <c r="BN59" s="36"/>
      <c r="BO59" s="36">
        <f>((589*240)+(3*12)+8)/240</f>
        <v>589.18333333333328</v>
      </c>
      <c r="BP59" s="36"/>
      <c r="BQ59" s="36"/>
      <c r="BR59" s="36">
        <f t="shared" ref="BR59:BR89" si="42">SUM(BM59:BQ59)</f>
        <v>589.18333333333328</v>
      </c>
      <c r="BS59">
        <f>139+11436</f>
        <v>11575</v>
      </c>
      <c r="BT59">
        <f>18+14</f>
        <v>32</v>
      </c>
      <c r="BU59">
        <f>0+6</f>
        <v>6</v>
      </c>
      <c r="BV59" s="28">
        <f>((240*BS59)+(12*BT59)+BU59)/240</f>
        <v>11576.625</v>
      </c>
      <c r="BW59" s="28">
        <f t="shared" si="7"/>
        <v>11576.624999999998</v>
      </c>
      <c r="BX59" s="128">
        <f>BW59/'RPI_1880-2010'!B58*100</f>
        <v>613493.64069952304</v>
      </c>
      <c r="BY59" s="35" t="s">
        <v>96</v>
      </c>
    </row>
    <row r="60" spans="1:77" x14ac:dyDescent="0.25">
      <c r="A60" s="29">
        <v>1937</v>
      </c>
      <c r="B60">
        <v>1182</v>
      </c>
      <c r="C60">
        <v>1</v>
      </c>
      <c r="D60">
        <v>3</v>
      </c>
      <c r="E60" s="28">
        <f t="shared" si="26"/>
        <v>283695</v>
      </c>
      <c r="F60">
        <v>317</v>
      </c>
      <c r="G60">
        <v>18</v>
      </c>
      <c r="H60">
        <v>11</v>
      </c>
      <c r="I60" s="28">
        <f t="shared" si="27"/>
        <v>76307</v>
      </c>
      <c r="J60">
        <v>552</v>
      </c>
      <c r="K60">
        <v>15</v>
      </c>
      <c r="L60">
        <v>6</v>
      </c>
      <c r="M60" s="24">
        <f t="shared" si="28"/>
        <v>132666</v>
      </c>
      <c r="Q60" s="41"/>
      <c r="R60" s="42">
        <v>2173</v>
      </c>
      <c r="S60" s="41">
        <v>7</v>
      </c>
      <c r="T60" s="41">
        <v>11</v>
      </c>
      <c r="U60" s="48">
        <f t="shared" si="38"/>
        <v>2173.3958333333335</v>
      </c>
      <c r="V60" s="24">
        <f t="shared" si="30"/>
        <v>2173.3958333333335</v>
      </c>
      <c r="W60" s="28">
        <v>4917</v>
      </c>
      <c r="X60">
        <v>8</v>
      </c>
      <c r="Y60">
        <v>9</v>
      </c>
      <c r="Z60" s="28">
        <f t="shared" si="31"/>
        <v>1180185</v>
      </c>
      <c r="AA60">
        <v>1373</v>
      </c>
      <c r="AB60">
        <v>3</v>
      </c>
      <c r="AC60">
        <v>11</v>
      </c>
      <c r="AD60" s="28">
        <f t="shared" si="32"/>
        <v>329567</v>
      </c>
      <c r="AE60">
        <v>1139</v>
      </c>
      <c r="AF60">
        <v>2</v>
      </c>
      <c r="AG60">
        <v>5</v>
      </c>
      <c r="AH60" s="28">
        <f t="shared" si="33"/>
        <v>273389</v>
      </c>
      <c r="AM60" s="28">
        <v>7889</v>
      </c>
      <c r="AN60" s="47">
        <v>14</v>
      </c>
      <c r="AO60" s="47">
        <v>8</v>
      </c>
      <c r="AP60" s="24">
        <f t="shared" si="39"/>
        <v>7889.7333333333336</v>
      </c>
      <c r="AQ60" s="36">
        <f t="shared" si="40"/>
        <v>7889.7333333333336</v>
      </c>
      <c r="AR60">
        <v>266</v>
      </c>
      <c r="AS60">
        <v>3</v>
      </c>
      <c r="AT60">
        <v>5</v>
      </c>
      <c r="AU60" s="24">
        <f t="shared" si="41"/>
        <v>266.17083333333335</v>
      </c>
      <c r="AV60" s="116">
        <f t="shared" si="8"/>
        <v>9748.7083333333339</v>
      </c>
      <c r="AW60">
        <v>120</v>
      </c>
      <c r="AX60">
        <v>12</v>
      </c>
      <c r="AY60">
        <v>3</v>
      </c>
      <c r="AZ60" s="9">
        <f t="shared" si="35"/>
        <v>28947</v>
      </c>
      <c r="BA60" s="9">
        <v>459</v>
      </c>
      <c r="BB60" s="9">
        <v>19</v>
      </c>
      <c r="BC60" s="9">
        <v>7</v>
      </c>
      <c r="BD60">
        <f t="shared" si="36"/>
        <v>110395</v>
      </c>
      <c r="BH60" s="111">
        <f t="shared" si="37"/>
        <v>580.5916666666667</v>
      </c>
      <c r="BI60" s="102">
        <f t="shared" si="9"/>
        <v>10329.300000000001</v>
      </c>
      <c r="BM60" s="36">
        <f t="shared" ref="BM60:BM91" si="43">((240*BJ60)+(12*BK60)+BL60)/240</f>
        <v>0</v>
      </c>
      <c r="BN60" s="36"/>
      <c r="BO60" s="36">
        <f>((897*240)+(18*12)+4)/240</f>
        <v>897.91666666666663</v>
      </c>
      <c r="BP60" s="36"/>
      <c r="BQ60" s="36"/>
      <c r="BR60" s="36">
        <f t="shared" si="42"/>
        <v>897.91666666666663</v>
      </c>
      <c r="BS60">
        <v>11227</v>
      </c>
      <c r="BT60">
        <v>4</v>
      </c>
      <c r="BU60">
        <v>4</v>
      </c>
      <c r="BV60" s="28">
        <f>((240*BS60)+(12*BT60)+BU60)/240</f>
        <v>11227.216666666667</v>
      </c>
      <c r="BW60" s="28">
        <f t="shared" si="7"/>
        <v>11227.216666666667</v>
      </c>
      <c r="BX60" s="128">
        <f>BW60/'RPI_1880-2010'!B59*100</f>
        <v>565033.55141754739</v>
      </c>
      <c r="BY60" s="35" t="s">
        <v>99</v>
      </c>
    </row>
    <row r="61" spans="1:77" x14ac:dyDescent="0.25">
      <c r="A61" s="29">
        <v>1938</v>
      </c>
      <c r="B61">
        <v>947</v>
      </c>
      <c r="C61">
        <v>17</v>
      </c>
      <c r="D61">
        <v>8</v>
      </c>
      <c r="E61" s="28">
        <f t="shared" si="26"/>
        <v>227492</v>
      </c>
      <c r="F61">
        <v>206</v>
      </c>
      <c r="G61">
        <v>9</v>
      </c>
      <c r="H61">
        <v>2</v>
      </c>
      <c r="I61" s="28">
        <f t="shared" si="27"/>
        <v>49550</v>
      </c>
      <c r="J61">
        <v>360</v>
      </c>
      <c r="K61">
        <v>12</v>
      </c>
      <c r="L61">
        <v>5</v>
      </c>
      <c r="M61" s="24">
        <f t="shared" si="28"/>
        <v>86549</v>
      </c>
      <c r="Q61" s="41"/>
      <c r="R61" s="42">
        <v>1581</v>
      </c>
      <c r="S61" s="41">
        <v>13</v>
      </c>
      <c r="T61" s="41">
        <v>3</v>
      </c>
      <c r="U61" s="48">
        <f t="shared" si="38"/>
        <v>1581.6624999999999</v>
      </c>
      <c r="V61" s="24">
        <f t="shared" si="30"/>
        <v>1581.6624999999999</v>
      </c>
      <c r="W61" s="28">
        <v>4804</v>
      </c>
      <c r="X61">
        <v>10</v>
      </c>
      <c r="Y61">
        <v>6</v>
      </c>
      <c r="Z61" s="28">
        <f t="shared" si="31"/>
        <v>1153086</v>
      </c>
      <c r="AA61">
        <v>1056</v>
      </c>
      <c r="AB61">
        <v>13</v>
      </c>
      <c r="AC61">
        <v>4</v>
      </c>
      <c r="AD61" s="28">
        <f t="shared" si="32"/>
        <v>253600</v>
      </c>
      <c r="AE61">
        <v>1034</v>
      </c>
      <c r="AF61">
        <v>19</v>
      </c>
      <c r="AG61">
        <v>5</v>
      </c>
      <c r="AH61" s="28">
        <f t="shared" si="33"/>
        <v>248393</v>
      </c>
      <c r="AM61">
        <f>7351-167</f>
        <v>7184</v>
      </c>
      <c r="AN61">
        <f>0-7</f>
        <v>-7</v>
      </c>
      <c r="AO61">
        <f>3-8</f>
        <v>-5</v>
      </c>
      <c r="AP61" s="24">
        <f t="shared" si="39"/>
        <v>7183.6291666666666</v>
      </c>
      <c r="AQ61" s="36">
        <f t="shared" si="40"/>
        <v>7183.6291666666666</v>
      </c>
      <c r="AR61">
        <f>167+330</f>
        <v>497</v>
      </c>
      <c r="AS61">
        <f>7+15</f>
        <v>22</v>
      </c>
      <c r="AT61">
        <f>8+8</f>
        <v>16</v>
      </c>
      <c r="AU61" s="24">
        <f t="shared" si="41"/>
        <v>498.16666666666669</v>
      </c>
      <c r="AV61" s="116">
        <f t="shared" si="8"/>
        <v>8909.2916666666679</v>
      </c>
      <c r="AW61">
        <v>66</v>
      </c>
      <c r="AX61">
        <v>14</v>
      </c>
      <c r="AY61">
        <v>0</v>
      </c>
      <c r="AZ61" s="9">
        <f t="shared" si="35"/>
        <v>16008</v>
      </c>
      <c r="BA61" s="9">
        <v>287</v>
      </c>
      <c r="BB61" s="9">
        <v>9</v>
      </c>
      <c r="BC61" s="9">
        <v>4</v>
      </c>
      <c r="BD61">
        <f t="shared" si="36"/>
        <v>68992</v>
      </c>
      <c r="BH61" s="111">
        <f t="shared" si="37"/>
        <v>354.16666666666669</v>
      </c>
      <c r="BI61" s="102">
        <f t="shared" si="9"/>
        <v>9263.4583333333339</v>
      </c>
      <c r="BM61" s="36">
        <f t="shared" si="43"/>
        <v>0</v>
      </c>
      <c r="BN61" s="36"/>
      <c r="BO61" s="36">
        <f>((1222*240)+(2*12)+3)/240</f>
        <v>1222.1125</v>
      </c>
      <c r="BP61" s="36"/>
      <c r="BQ61" s="36"/>
      <c r="BR61" s="36">
        <f t="shared" si="42"/>
        <v>1222.1125</v>
      </c>
      <c r="BS61">
        <v>10485</v>
      </c>
      <c r="BT61">
        <v>12</v>
      </c>
      <c r="BU61">
        <v>1</v>
      </c>
      <c r="BV61" s="28">
        <f>((240*BS61)+(12*BT61)+BU61)/240</f>
        <v>10485.604166666666</v>
      </c>
      <c r="BW61" s="28">
        <f t="shared" si="7"/>
        <v>10485.570833333333</v>
      </c>
      <c r="BX61" s="128">
        <f>BW61/'RPI_1880-2010'!B60*100</f>
        <v>522189.78253652056</v>
      </c>
      <c r="BY61" s="35" t="s">
        <v>100</v>
      </c>
    </row>
    <row r="62" spans="1:77" x14ac:dyDescent="0.25">
      <c r="A62" s="119">
        <v>1939</v>
      </c>
      <c r="B62">
        <v>1670</v>
      </c>
      <c r="C62">
        <v>8</v>
      </c>
      <c r="D62">
        <v>5</v>
      </c>
      <c r="E62" s="28">
        <f t="shared" si="26"/>
        <v>400901</v>
      </c>
      <c r="F62">
        <v>194</v>
      </c>
      <c r="G62">
        <v>0</v>
      </c>
      <c r="H62">
        <v>11</v>
      </c>
      <c r="I62" s="28">
        <f t="shared" si="27"/>
        <v>46571</v>
      </c>
      <c r="J62">
        <v>347</v>
      </c>
      <c r="K62">
        <v>11</v>
      </c>
      <c r="L62">
        <v>8</v>
      </c>
      <c r="M62" s="24">
        <f t="shared" si="28"/>
        <v>83420</v>
      </c>
      <c r="Q62" s="41"/>
      <c r="R62" s="42">
        <v>2274</v>
      </c>
      <c r="S62" s="41">
        <v>6</v>
      </c>
      <c r="T62" s="41">
        <v>2</v>
      </c>
      <c r="U62" s="23">
        <f t="shared" si="38"/>
        <v>2274.3083333333334</v>
      </c>
      <c r="V62" s="24">
        <f t="shared" si="30"/>
        <v>2274.3083333333334</v>
      </c>
      <c r="W62" s="28">
        <v>3125</v>
      </c>
      <c r="X62">
        <v>0</v>
      </c>
      <c r="Y62">
        <v>11</v>
      </c>
      <c r="Z62" s="28">
        <f t="shared" si="31"/>
        <v>750011</v>
      </c>
      <c r="AA62">
        <v>792</v>
      </c>
      <c r="AB62">
        <v>10</v>
      </c>
      <c r="AC62">
        <v>0</v>
      </c>
      <c r="AD62" s="28">
        <f t="shared" si="32"/>
        <v>190200</v>
      </c>
      <c r="AE62">
        <v>765</v>
      </c>
      <c r="AF62">
        <v>9</v>
      </c>
      <c r="AG62">
        <v>2</v>
      </c>
      <c r="AH62" s="28">
        <f t="shared" si="33"/>
        <v>183710</v>
      </c>
      <c r="AM62" s="28">
        <v>4879</v>
      </c>
      <c r="AN62">
        <v>12</v>
      </c>
      <c r="AO62">
        <v>2</v>
      </c>
      <c r="AP62" s="24">
        <f t="shared" si="39"/>
        <v>4879.6083333333336</v>
      </c>
      <c r="AQ62" s="36">
        <f t="shared" si="40"/>
        <v>4879.6083333333336</v>
      </c>
      <c r="AR62">
        <f>116+364</f>
        <v>480</v>
      </c>
      <c r="AS62">
        <f>13+11</f>
        <v>24</v>
      </c>
      <c r="AT62">
        <f>6+1</f>
        <v>7</v>
      </c>
      <c r="AU62" s="24">
        <f t="shared" si="41"/>
        <v>481.22916666666669</v>
      </c>
      <c r="AV62" s="116">
        <f t="shared" si="8"/>
        <v>7376.2833333333338</v>
      </c>
      <c r="AW62">
        <v>62</v>
      </c>
      <c r="AX62">
        <v>5</v>
      </c>
      <c r="AY62">
        <v>2</v>
      </c>
      <c r="AZ62" s="9">
        <f t="shared" si="35"/>
        <v>14942</v>
      </c>
      <c r="BA62" s="9">
        <v>196</v>
      </c>
      <c r="BB62" s="9">
        <v>12</v>
      </c>
      <c r="BC62" s="9">
        <v>1</v>
      </c>
      <c r="BD62">
        <f t="shared" si="36"/>
        <v>47185</v>
      </c>
      <c r="BH62" s="111">
        <f t="shared" si="37"/>
        <v>258.86250000000001</v>
      </c>
      <c r="BI62" s="102">
        <f t="shared" si="9"/>
        <v>7635.1458333333339</v>
      </c>
      <c r="BM62" s="36">
        <f t="shared" si="43"/>
        <v>0</v>
      </c>
      <c r="BN62" s="36"/>
      <c r="BO62" s="36">
        <f>((1075*240)+(2*12)+3)/240</f>
        <v>1075.1125</v>
      </c>
      <c r="BP62" s="36"/>
      <c r="BQ62" s="36"/>
      <c r="BR62" s="36">
        <f t="shared" si="42"/>
        <v>1075.1125</v>
      </c>
      <c r="BS62">
        <v>8710</v>
      </c>
      <c r="BT62">
        <v>5</v>
      </c>
      <c r="BU62">
        <v>2</v>
      </c>
      <c r="BV62" s="28">
        <f>((240*BS62)+(12*BT62)+BU62)/240</f>
        <v>8710.2583333333332</v>
      </c>
      <c r="BW62" s="28">
        <f t="shared" si="7"/>
        <v>8710.2583333333332</v>
      </c>
      <c r="BX62" s="128">
        <f>BW62/'RPI_1880-2010'!B61*100</f>
        <v>421192.37588652479</v>
      </c>
      <c r="BY62" s="118" t="s">
        <v>102</v>
      </c>
    </row>
    <row r="63" spans="1:77" x14ac:dyDescent="0.25">
      <c r="A63" s="29">
        <v>1940</v>
      </c>
      <c r="B63">
        <v>782</v>
      </c>
      <c r="C63">
        <v>18</v>
      </c>
      <c r="D63">
        <v>8</v>
      </c>
      <c r="E63" s="28">
        <f>D63+(12*C63)+(240*B63)</f>
        <v>187904</v>
      </c>
      <c r="F63">
        <v>299</v>
      </c>
      <c r="G63">
        <v>4</v>
      </c>
      <c r="H63">
        <v>10</v>
      </c>
      <c r="I63" s="28">
        <f t="shared" ref="I63:I80" si="44">H63+(12*G63)+(240*F63)</f>
        <v>71818</v>
      </c>
      <c r="J63">
        <v>190</v>
      </c>
      <c r="K63">
        <v>5</v>
      </c>
      <c r="L63">
        <v>5</v>
      </c>
      <c r="M63" s="28">
        <f>L63+(12*K63)+(240*J63)</f>
        <v>45665</v>
      </c>
      <c r="Q63" s="40"/>
      <c r="R63" s="40">
        <v>1295</v>
      </c>
      <c r="S63" s="40">
        <v>4</v>
      </c>
      <c r="T63" s="40">
        <v>3</v>
      </c>
      <c r="U63" s="48">
        <f t="shared" ref="U63:U76" si="45">((240*R63)+(12*S63)+T63)/240</f>
        <v>1295.2125000000001</v>
      </c>
      <c r="V63" s="24">
        <f t="shared" ref="V63:V76" si="46">(I63+E63+M63+Q63+AZ63)/240</f>
        <v>1295.2125000000001</v>
      </c>
      <c r="W63" s="28">
        <v>3287</v>
      </c>
      <c r="X63">
        <v>1</v>
      </c>
      <c r="Y63">
        <v>11</v>
      </c>
      <c r="Z63" s="28">
        <f>(W63*240)+(X63*12)+Y63</f>
        <v>788903</v>
      </c>
      <c r="AA63">
        <v>854</v>
      </c>
      <c r="AB63">
        <v>8</v>
      </c>
      <c r="AC63">
        <v>5</v>
      </c>
      <c r="AD63" s="28">
        <f>(AA63*240)+(AB63*12)+AC63</f>
        <v>205061</v>
      </c>
      <c r="AE63">
        <v>723</v>
      </c>
      <c r="AF63">
        <v>0</v>
      </c>
      <c r="AG63">
        <v>4</v>
      </c>
      <c r="AH63" s="28">
        <f>(AE63*240)+(AF63*12)+AG63</f>
        <v>173524</v>
      </c>
      <c r="AM63">
        <v>5114</v>
      </c>
      <c r="AN63">
        <v>17</v>
      </c>
      <c r="AO63">
        <v>3</v>
      </c>
      <c r="AP63" s="24">
        <f t="shared" ref="AP63:AP80" si="47">((240*AM63)+(12*AN63)+AO63)/240</f>
        <v>5114.8625000000002</v>
      </c>
      <c r="AQ63" s="36">
        <f t="shared" ref="AQ63:AQ77" si="48">(Z63+AD63+AH63+AL63+BD63)/240</f>
        <v>5114.854166666667</v>
      </c>
      <c r="AR63">
        <f>107+231+230+290+886</f>
        <v>1744</v>
      </c>
      <c r="AS63">
        <f>6+12+17+5+3</f>
        <v>43</v>
      </c>
      <c r="AT63">
        <f>11+1+3+1+0</f>
        <v>16</v>
      </c>
      <c r="AU63" s="24">
        <f t="shared" ref="AU63:AU80" si="49">((240*AR63)+(12*AS63)+AT63)/240</f>
        <v>1746.2166666666667</v>
      </c>
      <c r="AV63" s="116">
        <f t="shared" si="8"/>
        <v>7883.1958333333332</v>
      </c>
      <c r="AW63">
        <v>22</v>
      </c>
      <c r="AX63">
        <v>15</v>
      </c>
      <c r="AY63">
        <v>4</v>
      </c>
      <c r="AZ63">
        <f>(AW63*240)+(AX63*12)+AY63</f>
        <v>5464</v>
      </c>
      <c r="BA63">
        <v>250</v>
      </c>
      <c r="BB63">
        <v>6</v>
      </c>
      <c r="BC63">
        <v>5</v>
      </c>
      <c r="BD63">
        <f>(BA63*240)+(BB63*12)+BC63</f>
        <v>60077</v>
      </c>
      <c r="BH63" s="111">
        <f>(AZ63+BD63)/240</f>
        <v>273.08749999999998</v>
      </c>
      <c r="BI63" s="102">
        <f t="shared" si="9"/>
        <v>8156.2833333333328</v>
      </c>
      <c r="BJ63">
        <f>10</f>
        <v>10</v>
      </c>
      <c r="BK63">
        <f>9</f>
        <v>9</v>
      </c>
      <c r="BL63">
        <f>0</f>
        <v>0</v>
      </c>
      <c r="BM63" s="36">
        <f t="shared" si="43"/>
        <v>10.45</v>
      </c>
      <c r="BN63" s="36"/>
      <c r="BO63" s="36">
        <f>((1255*240)+(1*12)+3)/240</f>
        <v>1255.0625</v>
      </c>
      <c r="BP63" s="36"/>
      <c r="BQ63" s="36"/>
      <c r="BR63" s="36">
        <f t="shared" si="42"/>
        <v>1265.5125</v>
      </c>
      <c r="BS63">
        <v>9421</v>
      </c>
      <c r="BT63">
        <v>15</v>
      </c>
      <c r="BU63">
        <v>11</v>
      </c>
      <c r="BV63" s="28">
        <f t="shared" ref="BV63:BV69" si="50">((240*BS63)+(12*BT63)+BU63)/240</f>
        <v>9421.7958333333336</v>
      </c>
      <c r="BW63" s="28">
        <f t="shared" si="7"/>
        <v>9421.7958333333336</v>
      </c>
      <c r="BX63" s="128">
        <f>BW63/'RPI_1880-2010'!B62*100</f>
        <v>401268.98779102787</v>
      </c>
      <c r="BY63" s="35" t="s">
        <v>59</v>
      </c>
    </row>
    <row r="64" spans="1:77" x14ac:dyDescent="0.25">
      <c r="A64" s="29">
        <v>1941</v>
      </c>
      <c r="B64">
        <v>611</v>
      </c>
      <c r="C64">
        <v>16</v>
      </c>
      <c r="D64">
        <v>11</v>
      </c>
      <c r="E64" s="28">
        <f>D64+(12*C64)+(240*B64)</f>
        <v>146843</v>
      </c>
      <c r="F64">
        <v>0</v>
      </c>
      <c r="I64" s="24">
        <f t="shared" si="44"/>
        <v>0</v>
      </c>
      <c r="J64">
        <v>256</v>
      </c>
      <c r="K64">
        <v>9</v>
      </c>
      <c r="L64">
        <v>3</v>
      </c>
      <c r="M64" s="24">
        <f>L64+(12*K64)+(240*J64)</f>
        <v>61551</v>
      </c>
      <c r="Q64" s="40"/>
      <c r="R64" s="40">
        <v>884</v>
      </c>
      <c r="S64" s="40">
        <v>1</v>
      </c>
      <c r="T64" s="40">
        <v>4</v>
      </c>
      <c r="U64" s="48">
        <f t="shared" si="45"/>
        <v>884.06666666666672</v>
      </c>
      <c r="V64" s="24">
        <f t="shared" si="46"/>
        <v>884.06666666666672</v>
      </c>
      <c r="W64" s="28">
        <v>2440</v>
      </c>
      <c r="X64">
        <v>14</v>
      </c>
      <c r="Y64">
        <v>6</v>
      </c>
      <c r="Z64" s="28">
        <f>(W64*240)+(X64*12)+Y64</f>
        <v>585774</v>
      </c>
      <c r="AA64">
        <v>196</v>
      </c>
      <c r="AB64">
        <v>16</v>
      </c>
      <c r="AC64">
        <v>7</v>
      </c>
      <c r="AD64" s="28">
        <f>(AA64*240)+(AB64*12)+AC64</f>
        <v>47239</v>
      </c>
      <c r="AE64">
        <v>430</v>
      </c>
      <c r="AF64">
        <v>13</v>
      </c>
      <c r="AG64">
        <v>2</v>
      </c>
      <c r="AH64" s="28">
        <f>(AE64*240)+(AF64*12)+AG64</f>
        <v>103358</v>
      </c>
      <c r="AM64">
        <v>3124</v>
      </c>
      <c r="AN64">
        <v>3</v>
      </c>
      <c r="AO64">
        <v>5</v>
      </c>
      <c r="AP64" s="24">
        <f t="shared" si="47"/>
        <v>3124.1708333333331</v>
      </c>
      <c r="AQ64" s="36">
        <f t="shared" si="48"/>
        <v>3124.1708333333331</v>
      </c>
      <c r="AR64">
        <f>53+259+184+5+3</f>
        <v>504</v>
      </c>
      <c r="AS64">
        <f>8+2+2+1+3</f>
        <v>16</v>
      </c>
      <c r="AT64">
        <f>2+1+1+0+9</f>
        <v>13</v>
      </c>
      <c r="AU64" s="24">
        <f t="shared" si="49"/>
        <v>504.85416666666669</v>
      </c>
      <c r="AV64" s="116">
        <f t="shared" si="8"/>
        <v>4441.375</v>
      </c>
      <c r="AW64">
        <v>15</v>
      </c>
      <c r="AX64">
        <v>15</v>
      </c>
      <c r="AY64">
        <v>2</v>
      </c>
      <c r="AZ64">
        <f>(AW64*240)+(AX64*12)+AY64</f>
        <v>3782</v>
      </c>
      <c r="BA64">
        <v>55</v>
      </c>
      <c r="BB64">
        <v>19</v>
      </c>
      <c r="BC64">
        <v>2</v>
      </c>
      <c r="BD64">
        <f>(BA64*240)+(BB64*12)+BC64</f>
        <v>13430</v>
      </c>
      <c r="BH64" s="111">
        <f>(AZ64+BD64)/240</f>
        <v>71.716666666666669</v>
      </c>
      <c r="BI64" s="102">
        <f t="shared" si="9"/>
        <v>4513.0916666666662</v>
      </c>
      <c r="BJ64">
        <f>10</f>
        <v>10</v>
      </c>
      <c r="BK64">
        <f>9</f>
        <v>9</v>
      </c>
      <c r="BL64">
        <f>0</f>
        <v>0</v>
      </c>
      <c r="BM64" s="36">
        <f t="shared" si="43"/>
        <v>10.45</v>
      </c>
      <c r="BN64" s="36"/>
      <c r="BO64" s="36">
        <f>((1340*240)+(2*12)+0)/240</f>
        <v>1340.1</v>
      </c>
      <c r="BP64" s="36"/>
      <c r="BQ64" s="36"/>
      <c r="BR64" s="36">
        <f t="shared" si="42"/>
        <v>1350.55</v>
      </c>
      <c r="BS64">
        <v>5863</v>
      </c>
      <c r="BT64">
        <v>12</v>
      </c>
      <c r="BU64">
        <v>10</v>
      </c>
      <c r="BV64" s="28">
        <f t="shared" si="50"/>
        <v>5863.6416666666664</v>
      </c>
      <c r="BW64" s="28">
        <f t="shared" si="7"/>
        <v>5863.6416666666664</v>
      </c>
      <c r="BX64" s="128">
        <f>BW64/'RPI_1880-2010'!B63*100</f>
        <v>226482.87627140468</v>
      </c>
      <c r="BY64" s="35" t="s">
        <v>63</v>
      </c>
    </row>
    <row r="65" spans="1:77" x14ac:dyDescent="0.25">
      <c r="A65" s="29">
        <v>1942</v>
      </c>
      <c r="B65">
        <v>771</v>
      </c>
      <c r="C65">
        <v>14</v>
      </c>
      <c r="D65">
        <v>6</v>
      </c>
      <c r="E65" s="28">
        <f>D65+(12*C65)+(240*B65)</f>
        <v>185214</v>
      </c>
      <c r="F65">
        <v>36</v>
      </c>
      <c r="G65">
        <v>18</v>
      </c>
      <c r="H65">
        <v>4</v>
      </c>
      <c r="I65" s="24">
        <f t="shared" si="44"/>
        <v>8860</v>
      </c>
      <c r="J65">
        <v>111</v>
      </c>
      <c r="K65">
        <v>15</v>
      </c>
      <c r="L65">
        <v>9</v>
      </c>
      <c r="M65" s="24">
        <f>L65+(12*K65)+(240*J65)</f>
        <v>26829</v>
      </c>
      <c r="Q65" s="40"/>
      <c r="R65" s="40">
        <v>928</v>
      </c>
      <c r="S65" s="40">
        <v>7</v>
      </c>
      <c r="T65" s="40">
        <v>3</v>
      </c>
      <c r="U65" s="48">
        <f t="shared" si="45"/>
        <v>928.36249999999995</v>
      </c>
      <c r="V65" s="24">
        <f t="shared" si="46"/>
        <v>928.36249999999995</v>
      </c>
      <c r="W65" s="28">
        <v>1984</v>
      </c>
      <c r="X65">
        <v>9</v>
      </c>
      <c r="Y65">
        <v>6</v>
      </c>
      <c r="Z65" s="28">
        <f>(W65*240)+(X65*12)+Y65</f>
        <v>476274</v>
      </c>
      <c r="AA65">
        <v>651</v>
      </c>
      <c r="AB65">
        <v>16</v>
      </c>
      <c r="AC65">
        <v>1</v>
      </c>
      <c r="AD65" s="28">
        <f>(AA65*240)+(AB65*12)+AC65</f>
        <v>156433</v>
      </c>
      <c r="AE65">
        <v>459</v>
      </c>
      <c r="AF65">
        <v>17</v>
      </c>
      <c r="AG65">
        <v>4</v>
      </c>
      <c r="AH65" s="28">
        <f>(AE65*240)+(AF65*12)+AG65</f>
        <v>110368</v>
      </c>
      <c r="AM65">
        <v>3121</v>
      </c>
      <c r="AN65">
        <v>3</v>
      </c>
      <c r="AO65">
        <v>2</v>
      </c>
      <c r="AP65" s="24">
        <f t="shared" si="47"/>
        <v>3121.1583333333333</v>
      </c>
      <c r="AQ65" s="36">
        <f t="shared" si="48"/>
        <v>3121.1583333333333</v>
      </c>
      <c r="AR65">
        <f>445+164+75</f>
        <v>684</v>
      </c>
      <c r="AS65">
        <f>13+14+2</f>
        <v>29</v>
      </c>
      <c r="AT65">
        <f>4+9+1</f>
        <v>14</v>
      </c>
      <c r="AU65" s="24">
        <f t="shared" si="49"/>
        <v>685.50833333333333</v>
      </c>
      <c r="AV65" s="116">
        <f t="shared" si="8"/>
        <v>4702.083333333333</v>
      </c>
      <c r="AW65">
        <v>7</v>
      </c>
      <c r="AX65">
        <v>18</v>
      </c>
      <c r="AY65">
        <v>8</v>
      </c>
      <c r="AZ65">
        <f>(AW65*240)+(AX65*12)+AY65</f>
        <v>1904</v>
      </c>
      <c r="BA65">
        <v>25</v>
      </c>
      <c r="BB65">
        <v>0</v>
      </c>
      <c r="BC65">
        <v>3</v>
      </c>
      <c r="BD65">
        <f>(BA65*240)+(BB65*12)+BC65</f>
        <v>6003</v>
      </c>
      <c r="BH65" s="111">
        <f>(AZ65+BD65)/240</f>
        <v>32.945833333333333</v>
      </c>
      <c r="BI65" s="102">
        <f t="shared" si="9"/>
        <v>4735.0291666666662</v>
      </c>
      <c r="BJ65">
        <f>10</f>
        <v>10</v>
      </c>
      <c r="BK65">
        <f>19</f>
        <v>19</v>
      </c>
      <c r="BL65">
        <f>0</f>
        <v>0</v>
      </c>
      <c r="BM65" s="36">
        <f t="shared" si="43"/>
        <v>10.95</v>
      </c>
      <c r="BN65" s="36"/>
      <c r="BO65" s="36">
        <f>((1314*240)+(11*12)+4)/240</f>
        <v>1314.5666666666666</v>
      </c>
      <c r="BP65" s="36"/>
      <c r="BQ65" s="36"/>
      <c r="BR65" s="36">
        <f t="shared" si="42"/>
        <v>1325.5166666666667</v>
      </c>
      <c r="BS65">
        <v>6060</v>
      </c>
      <c r="BT65">
        <v>10</v>
      </c>
      <c r="BU65">
        <v>11</v>
      </c>
      <c r="BV65" s="28">
        <f t="shared" si="50"/>
        <v>6060.5458333333336</v>
      </c>
      <c r="BW65" s="28">
        <f t="shared" si="7"/>
        <v>6060.5458333333327</v>
      </c>
      <c r="BX65" s="128">
        <f>BW65/'RPI_1880-2010'!B64*100</f>
        <v>220303.37453047372</v>
      </c>
      <c r="BY65" s="35" t="s">
        <v>65</v>
      </c>
    </row>
    <row r="66" spans="1:77" x14ac:dyDescent="0.25">
      <c r="A66" s="29">
        <v>1943</v>
      </c>
      <c r="B66">
        <v>351</v>
      </c>
      <c r="C66">
        <v>6</v>
      </c>
      <c r="D66">
        <v>8</v>
      </c>
      <c r="E66" s="27">
        <f t="shared" ref="E66:E80" si="51">D66+(12*C66)+(240*B66)</f>
        <v>84320</v>
      </c>
      <c r="F66">
        <v>0</v>
      </c>
      <c r="I66" s="24">
        <f t="shared" si="44"/>
        <v>0</v>
      </c>
      <c r="J66">
        <v>47</v>
      </c>
      <c r="K66">
        <v>19</v>
      </c>
      <c r="L66">
        <v>10</v>
      </c>
      <c r="M66" s="23">
        <f t="shared" ref="M66:M80" si="52">L66+(12*K66)+(240*J66)</f>
        <v>11518</v>
      </c>
      <c r="Q66" s="40"/>
      <c r="R66" s="40">
        <v>407</v>
      </c>
      <c r="S66" s="40">
        <v>6</v>
      </c>
      <c r="T66" s="40">
        <v>9</v>
      </c>
      <c r="U66" s="48">
        <f t="shared" si="45"/>
        <v>407.33749999999998</v>
      </c>
      <c r="V66" s="24">
        <f t="shared" si="46"/>
        <v>407.33749999999998</v>
      </c>
      <c r="W66" s="28">
        <v>843</v>
      </c>
      <c r="X66">
        <v>3</v>
      </c>
      <c r="Y66">
        <v>3</v>
      </c>
      <c r="Z66" s="28">
        <f t="shared" ref="Z66:Z80" si="53">(W66*240)+(X66*12)+Y66</f>
        <v>202359</v>
      </c>
      <c r="AA66">
        <v>499</v>
      </c>
      <c r="AB66">
        <v>1</v>
      </c>
      <c r="AC66">
        <v>2</v>
      </c>
      <c r="AD66" s="28">
        <f t="shared" ref="AD66:AD80" si="54">(AA66*240)+(AB66*12)+AC66</f>
        <v>119774</v>
      </c>
      <c r="AE66">
        <v>199</v>
      </c>
      <c r="AF66">
        <v>19</v>
      </c>
      <c r="AG66">
        <v>11</v>
      </c>
      <c r="AH66" s="28">
        <f t="shared" ref="AH66:AH80" si="55">(AE66*240)+(AF66*12)+AG66</f>
        <v>47999</v>
      </c>
      <c r="AM66">
        <v>1583</v>
      </c>
      <c r="AN66">
        <v>0</v>
      </c>
      <c r="AO66">
        <v>4</v>
      </c>
      <c r="AP66" s="24">
        <f t="shared" si="47"/>
        <v>1583.0166666666667</v>
      </c>
      <c r="AQ66" s="36">
        <f t="shared" si="48"/>
        <v>1583.0166666666667</v>
      </c>
      <c r="AR66">
        <f>390+183</f>
        <v>573</v>
      </c>
      <c r="AS66">
        <f>18+8</f>
        <v>26</v>
      </c>
      <c r="AT66">
        <f>6+10</f>
        <v>16</v>
      </c>
      <c r="AU66" s="24">
        <f t="shared" si="49"/>
        <v>574.36666666666667</v>
      </c>
      <c r="AV66" s="116">
        <f t="shared" si="8"/>
        <v>2515.9083333333333</v>
      </c>
      <c r="AW66">
        <v>8</v>
      </c>
      <c r="AX66">
        <v>0</v>
      </c>
      <c r="AY66">
        <v>3</v>
      </c>
      <c r="AZ66" s="9">
        <f t="shared" ref="AZ66:AZ77" si="56">AY66+(12*AX66)+(240*AW66)</f>
        <v>1923</v>
      </c>
      <c r="BA66">
        <v>40</v>
      </c>
      <c r="BB66">
        <v>16</v>
      </c>
      <c r="BC66">
        <v>0</v>
      </c>
      <c r="BD66">
        <f t="shared" ref="BD66:BD77" si="57">(BA66*240)+(BB66*12)+BC66</f>
        <v>9792</v>
      </c>
      <c r="BH66" s="111">
        <f t="shared" ref="BH66:BH77" si="58">(AZ66+BD66)/240</f>
        <v>48.8125</v>
      </c>
      <c r="BI66" s="102">
        <f t="shared" si="9"/>
        <v>2564.7208333333333</v>
      </c>
      <c r="BJ66">
        <f>10</f>
        <v>10</v>
      </c>
      <c r="BK66">
        <f>9</f>
        <v>9</v>
      </c>
      <c r="BL66">
        <f>0</f>
        <v>0</v>
      </c>
      <c r="BM66" s="36">
        <f t="shared" si="43"/>
        <v>10.45</v>
      </c>
      <c r="BN66" s="36"/>
      <c r="BO66" s="36">
        <f>((1365*240)+(2*12)+8)/240</f>
        <v>1365.1333333333334</v>
      </c>
      <c r="BP66" s="36"/>
      <c r="BQ66" s="36"/>
      <c r="BR66" s="36">
        <f t="shared" si="42"/>
        <v>1375.5833333333335</v>
      </c>
      <c r="BS66">
        <v>3940</v>
      </c>
      <c r="BT66">
        <v>6</v>
      </c>
      <c r="BU66">
        <v>1</v>
      </c>
      <c r="BV66" s="28">
        <f t="shared" si="50"/>
        <v>3940.3041666666668</v>
      </c>
      <c r="BW66" s="28">
        <f t="shared" si="7"/>
        <v>3940.3041666666668</v>
      </c>
      <c r="BX66" s="128">
        <f>BW66/'RPI_1880-2010'!B65*100</f>
        <v>138207.79258739625</v>
      </c>
      <c r="BY66" s="35" t="s">
        <v>67</v>
      </c>
    </row>
    <row r="67" spans="1:77" x14ac:dyDescent="0.25">
      <c r="A67" s="29">
        <v>1944</v>
      </c>
      <c r="B67">
        <v>377</v>
      </c>
      <c r="C67">
        <v>5</v>
      </c>
      <c r="D67">
        <v>0</v>
      </c>
      <c r="E67" s="28">
        <f t="shared" si="51"/>
        <v>90540</v>
      </c>
      <c r="F67">
        <v>0</v>
      </c>
      <c r="I67" s="28">
        <f t="shared" si="44"/>
        <v>0</v>
      </c>
      <c r="J67">
        <v>31</v>
      </c>
      <c r="K67">
        <v>19</v>
      </c>
      <c r="L67">
        <v>2</v>
      </c>
      <c r="M67" s="24">
        <f t="shared" si="52"/>
        <v>7670</v>
      </c>
      <c r="R67" s="28">
        <v>415</v>
      </c>
      <c r="S67" s="40">
        <v>5</v>
      </c>
      <c r="T67" s="40">
        <v>0</v>
      </c>
      <c r="U67" s="48">
        <f t="shared" si="45"/>
        <v>415.25</v>
      </c>
      <c r="V67" s="24">
        <f t="shared" si="46"/>
        <v>415.25</v>
      </c>
      <c r="W67" s="28">
        <v>1326</v>
      </c>
      <c r="X67">
        <v>2</v>
      </c>
      <c r="Y67">
        <v>7</v>
      </c>
      <c r="Z67" s="28">
        <f t="shared" si="53"/>
        <v>318271</v>
      </c>
      <c r="AA67">
        <v>379</v>
      </c>
      <c r="AB67">
        <v>16</v>
      </c>
      <c r="AC67">
        <v>7</v>
      </c>
      <c r="AD67" s="28">
        <f t="shared" si="54"/>
        <v>91159</v>
      </c>
      <c r="AE67">
        <v>256</v>
      </c>
      <c r="AF67">
        <v>1</v>
      </c>
      <c r="AG67">
        <v>1</v>
      </c>
      <c r="AH67" s="28">
        <f t="shared" si="55"/>
        <v>61453</v>
      </c>
      <c r="AM67">
        <v>2009</v>
      </c>
      <c r="AN67">
        <v>18</v>
      </c>
      <c r="AO67">
        <v>11</v>
      </c>
      <c r="AP67" s="24">
        <f t="shared" si="47"/>
        <v>2009.9458333333334</v>
      </c>
      <c r="AQ67" s="36">
        <f t="shared" si="48"/>
        <v>2009.9458333333334</v>
      </c>
      <c r="AR67">
        <f>13+374+196</f>
        <v>583</v>
      </c>
      <c r="AS67">
        <f>2+19+3</f>
        <v>24</v>
      </c>
      <c r="AT67">
        <f>6+1+4</f>
        <v>11</v>
      </c>
      <c r="AU67" s="24">
        <f t="shared" si="49"/>
        <v>584.24583333333328</v>
      </c>
      <c r="AV67" s="116">
        <f t="shared" si="8"/>
        <v>2955.4666666666667</v>
      </c>
      <c r="AW67">
        <v>6</v>
      </c>
      <c r="AX67">
        <v>0</v>
      </c>
      <c r="AY67">
        <v>10</v>
      </c>
      <c r="AZ67" s="9">
        <f t="shared" si="56"/>
        <v>1450</v>
      </c>
      <c r="BA67" s="9">
        <v>47</v>
      </c>
      <c r="BB67" s="9">
        <v>18</v>
      </c>
      <c r="BC67" s="9">
        <v>8</v>
      </c>
      <c r="BD67">
        <f t="shared" si="57"/>
        <v>11504</v>
      </c>
      <c r="BH67" s="111">
        <f t="shared" si="58"/>
        <v>53.975000000000001</v>
      </c>
      <c r="BI67" s="102">
        <f t="shared" si="9"/>
        <v>3009.4416666666666</v>
      </c>
      <c r="BJ67">
        <f>16</f>
        <v>16</v>
      </c>
      <c r="BK67">
        <f>3</f>
        <v>3</v>
      </c>
      <c r="BL67">
        <f>6</f>
        <v>6</v>
      </c>
      <c r="BM67" s="36">
        <f t="shared" si="43"/>
        <v>16.175000000000001</v>
      </c>
      <c r="BN67" s="36"/>
      <c r="BO67" s="36">
        <f>((1384*240)+(3*12)+2)/240</f>
        <v>1384.1583333333333</v>
      </c>
      <c r="BP67" s="36"/>
      <c r="BQ67" s="36"/>
      <c r="BR67" s="36">
        <f t="shared" si="42"/>
        <v>1400.3333333333333</v>
      </c>
      <c r="BS67">
        <f>4789-380</f>
        <v>4409</v>
      </c>
      <c r="BT67">
        <f>18-3</f>
        <v>15</v>
      </c>
      <c r="BU67">
        <f>9-9</f>
        <v>0</v>
      </c>
      <c r="BV67" s="28">
        <f t="shared" si="50"/>
        <v>4409.75</v>
      </c>
      <c r="BW67" s="28">
        <f t="shared" ref="BW67:BW77" si="59">BI67+BR67</f>
        <v>4409.7749999999996</v>
      </c>
      <c r="BX67" s="128">
        <f>BW67/'RPI_1880-2010'!B66*100</f>
        <v>151486.60254208176</v>
      </c>
      <c r="BY67" s="35" t="s">
        <v>76</v>
      </c>
    </row>
    <row r="68" spans="1:77" x14ac:dyDescent="0.25">
      <c r="A68" s="29">
        <v>1945</v>
      </c>
      <c r="B68">
        <v>356</v>
      </c>
      <c r="C68">
        <v>16</v>
      </c>
      <c r="D68">
        <v>9</v>
      </c>
      <c r="E68" s="28">
        <f>D68+(12*C68)+(240*B68)</f>
        <v>85641</v>
      </c>
      <c r="F68">
        <v>0</v>
      </c>
      <c r="I68" s="28">
        <f>H68+(12*G68)+(240*F68)</f>
        <v>0</v>
      </c>
      <c r="J68">
        <v>38</v>
      </c>
      <c r="K68">
        <v>6</v>
      </c>
      <c r="L68">
        <v>10</v>
      </c>
      <c r="M68" s="24">
        <f>L68+(12*K68)+(240*J68)</f>
        <v>9202</v>
      </c>
      <c r="Q68" s="40"/>
      <c r="R68" s="40">
        <v>407</v>
      </c>
      <c r="S68" s="40">
        <v>0</v>
      </c>
      <c r="T68" s="40">
        <v>5</v>
      </c>
      <c r="U68" s="48">
        <f>((240*R68)+(12*S68)+T68)/240</f>
        <v>407.02083333333331</v>
      </c>
      <c r="V68" s="24">
        <f>(I68+E68+M68+Q68+AZ68)/240</f>
        <v>407.02083333333331</v>
      </c>
      <c r="W68" s="28">
        <v>1560</v>
      </c>
      <c r="X68">
        <v>15</v>
      </c>
      <c r="Y68">
        <v>2</v>
      </c>
      <c r="Z68" s="28">
        <f>(W68*240)+(X68*12)+Y68</f>
        <v>374582</v>
      </c>
      <c r="AA68">
        <v>503</v>
      </c>
      <c r="AB68">
        <v>14</v>
      </c>
      <c r="AC68">
        <v>8</v>
      </c>
      <c r="AD68" s="28">
        <f>(AA68*240)+(AB68*12)+AC68</f>
        <v>120896</v>
      </c>
      <c r="AE68">
        <v>190</v>
      </c>
      <c r="AF68">
        <v>18</v>
      </c>
      <c r="AG68">
        <v>11</v>
      </c>
      <c r="AH68" s="28">
        <f>(AE68*240)+(AF68*12)+AG68</f>
        <v>45827</v>
      </c>
      <c r="AM68">
        <v>2316</v>
      </c>
      <c r="AN68">
        <v>0</v>
      </c>
      <c r="AO68">
        <v>4</v>
      </c>
      <c r="AP68" s="24">
        <f t="shared" si="47"/>
        <v>2316.0166666666669</v>
      </c>
      <c r="AQ68" s="36">
        <f t="shared" si="48"/>
        <v>2316.0166666666669</v>
      </c>
      <c r="AR68">
        <f>568+239</f>
        <v>807</v>
      </c>
      <c r="AS68">
        <f>9+16</f>
        <v>25</v>
      </c>
      <c r="AT68">
        <f>1+5</f>
        <v>6</v>
      </c>
      <c r="AU68" s="24">
        <f>((240*AR68)+(12*AS68)+AT68)/240</f>
        <v>808.27499999999998</v>
      </c>
      <c r="AV68" s="116">
        <f t="shared" ref="AV68:AV77" si="60">AU68+AQ68+V68-BH68</f>
        <v>3458.8916666666673</v>
      </c>
      <c r="AW68">
        <v>11</v>
      </c>
      <c r="AX68">
        <v>16</v>
      </c>
      <c r="AY68">
        <v>10</v>
      </c>
      <c r="AZ68" s="9">
        <f>AY68+(12*AX68)+(240*AW68)</f>
        <v>2842</v>
      </c>
      <c r="BA68" s="9">
        <v>60</v>
      </c>
      <c r="BB68" s="9">
        <v>11</v>
      </c>
      <c r="BC68" s="9">
        <v>7</v>
      </c>
      <c r="BD68">
        <f>(BA68*240)+(BB68*12)+BC68</f>
        <v>14539</v>
      </c>
      <c r="BH68" s="111">
        <f>(AZ68+BD68)/240</f>
        <v>72.420833333333334</v>
      </c>
      <c r="BI68" s="102">
        <f t="shared" ref="BI68:BI91" si="61">AV68+BH68</f>
        <v>3531.3125000000005</v>
      </c>
      <c r="BJ68">
        <f>92+16</f>
        <v>108</v>
      </c>
      <c r="BK68">
        <f>2+3</f>
        <v>5</v>
      </c>
      <c r="BL68">
        <f>11+0</f>
        <v>11</v>
      </c>
      <c r="BM68" s="36">
        <f t="shared" si="43"/>
        <v>108.29583333333333</v>
      </c>
      <c r="BN68" s="36"/>
      <c r="BO68" s="36">
        <f>((475*240)+(17*12)+11)/240</f>
        <v>475.89583333333331</v>
      </c>
      <c r="BP68" s="36"/>
      <c r="BQ68" s="36"/>
      <c r="BR68" s="36">
        <f t="shared" si="42"/>
        <v>584.19166666666661</v>
      </c>
      <c r="BS68">
        <f>4751-635</f>
        <v>4116</v>
      </c>
      <c r="BT68">
        <f>5-15</f>
        <v>-10</v>
      </c>
      <c r="BU68">
        <f>11-10</f>
        <v>1</v>
      </c>
      <c r="BV68" s="28">
        <f>((240*BS68)+(12*BT68)+BU68)/240</f>
        <v>4115.5041666666666</v>
      </c>
      <c r="BW68" s="28">
        <f t="shared" si="59"/>
        <v>4115.5041666666675</v>
      </c>
      <c r="BX68" s="128">
        <f>BW68/'RPI_1880-2010'!B67*100</f>
        <v>138522.5232806014</v>
      </c>
      <c r="BY68" s="35" t="s">
        <v>75</v>
      </c>
    </row>
    <row r="69" spans="1:77" x14ac:dyDescent="0.25">
      <c r="A69" s="29">
        <v>1946</v>
      </c>
      <c r="B69">
        <v>824</v>
      </c>
      <c r="C69">
        <v>11</v>
      </c>
      <c r="D69">
        <v>5</v>
      </c>
      <c r="E69" s="28">
        <f t="shared" si="51"/>
        <v>197897</v>
      </c>
      <c r="F69">
        <v>0</v>
      </c>
      <c r="I69" s="28">
        <f t="shared" si="44"/>
        <v>0</v>
      </c>
      <c r="J69">
        <v>76</v>
      </c>
      <c r="K69">
        <v>11</v>
      </c>
      <c r="L69">
        <v>4</v>
      </c>
      <c r="M69" s="24">
        <f t="shared" si="52"/>
        <v>18376</v>
      </c>
      <c r="Q69" s="40"/>
      <c r="R69" s="40">
        <v>963</v>
      </c>
      <c r="S69" s="40">
        <v>18</v>
      </c>
      <c r="T69" s="40">
        <v>8</v>
      </c>
      <c r="U69" s="48">
        <f t="shared" si="45"/>
        <v>963.93333333333328</v>
      </c>
      <c r="V69" s="24">
        <f t="shared" si="46"/>
        <v>963.93333333333328</v>
      </c>
      <c r="W69" s="28">
        <v>2735</v>
      </c>
      <c r="X69">
        <v>15</v>
      </c>
      <c r="Y69">
        <v>3</v>
      </c>
      <c r="Z69" s="28">
        <f t="shared" si="53"/>
        <v>656583</v>
      </c>
      <c r="AA69">
        <v>414</v>
      </c>
      <c r="AB69">
        <v>12</v>
      </c>
      <c r="AC69">
        <v>1</v>
      </c>
      <c r="AD69" s="28">
        <f t="shared" si="54"/>
        <v>99505</v>
      </c>
      <c r="AE69">
        <v>448</v>
      </c>
      <c r="AF69">
        <v>7</v>
      </c>
      <c r="AG69">
        <v>7</v>
      </c>
      <c r="AH69" s="28">
        <f t="shared" si="55"/>
        <v>107611</v>
      </c>
      <c r="AM69">
        <v>3730</v>
      </c>
      <c r="AN69">
        <v>2</v>
      </c>
      <c r="AO69">
        <v>0</v>
      </c>
      <c r="AP69" s="24">
        <f t="shared" si="47"/>
        <v>3730.1</v>
      </c>
      <c r="AQ69" s="36">
        <f t="shared" si="48"/>
        <v>3730.1</v>
      </c>
      <c r="AR69">
        <f>201+699+253</f>
        <v>1153</v>
      </c>
      <c r="AS69">
        <f>9+16+18</f>
        <v>43</v>
      </c>
      <c r="AT69">
        <f>6+0+8</f>
        <v>14</v>
      </c>
      <c r="AU69" s="24">
        <f t="shared" si="49"/>
        <v>1155.2083333333333</v>
      </c>
      <c r="AV69" s="116">
        <f t="shared" si="60"/>
        <v>5655.0916666666672</v>
      </c>
      <c r="AW69">
        <v>62</v>
      </c>
      <c r="AX69">
        <v>15</v>
      </c>
      <c r="AY69">
        <v>11</v>
      </c>
      <c r="AZ69" s="9">
        <f t="shared" si="56"/>
        <v>15071</v>
      </c>
      <c r="BA69">
        <v>131</v>
      </c>
      <c r="BB69">
        <v>7</v>
      </c>
      <c r="BC69">
        <v>1</v>
      </c>
      <c r="BD69">
        <f t="shared" si="57"/>
        <v>31525</v>
      </c>
      <c r="BH69" s="111">
        <f t="shared" si="58"/>
        <v>194.15</v>
      </c>
      <c r="BI69" s="102">
        <f t="shared" si="61"/>
        <v>5849.2416666666668</v>
      </c>
      <c r="BJ69">
        <f>35+16</f>
        <v>51</v>
      </c>
      <c r="BK69">
        <f>7+3</f>
        <v>10</v>
      </c>
      <c r="BL69">
        <f>9+0</f>
        <v>9</v>
      </c>
      <c r="BM69" s="36">
        <f t="shared" si="43"/>
        <v>51.537500000000001</v>
      </c>
      <c r="BN69" s="36"/>
      <c r="BO69" s="36">
        <f>((1011*240)+(1*12)+3)/240</f>
        <v>1011.0625</v>
      </c>
      <c r="BP69" s="36"/>
      <c r="BQ69" s="36"/>
      <c r="BR69" s="36">
        <f t="shared" si="42"/>
        <v>1062.5999999999999</v>
      </c>
      <c r="BS69">
        <f>7234-322</f>
        <v>6912</v>
      </c>
      <c r="BT69">
        <f>4-8</f>
        <v>-4</v>
      </c>
      <c r="BU69">
        <f>11-1</f>
        <v>10</v>
      </c>
      <c r="BV69" s="28">
        <f t="shared" si="50"/>
        <v>6911.8416666666662</v>
      </c>
      <c r="BW69" s="28">
        <f t="shared" si="59"/>
        <v>6911.8416666666672</v>
      </c>
      <c r="BX69" s="128">
        <f>BW69/'RPI_1880-2010'!B68*100</f>
        <v>223611.83004421438</v>
      </c>
      <c r="BY69" s="35" t="s">
        <v>74</v>
      </c>
    </row>
    <row r="70" spans="1:77" x14ac:dyDescent="0.25">
      <c r="A70" s="29">
        <v>1947</v>
      </c>
      <c r="B70">
        <v>889</v>
      </c>
      <c r="C70">
        <v>12</v>
      </c>
      <c r="D70">
        <v>4</v>
      </c>
      <c r="E70" s="28">
        <f t="shared" si="51"/>
        <v>213508</v>
      </c>
      <c r="F70">
        <v>173</v>
      </c>
      <c r="G70">
        <v>9</v>
      </c>
      <c r="H70">
        <v>4</v>
      </c>
      <c r="I70" s="28">
        <f t="shared" si="44"/>
        <v>41632</v>
      </c>
      <c r="J70">
        <v>563</v>
      </c>
      <c r="K70">
        <v>12</v>
      </c>
      <c r="L70">
        <v>9</v>
      </c>
      <c r="M70" s="24">
        <f t="shared" si="52"/>
        <v>135273</v>
      </c>
      <c r="Q70" s="40"/>
      <c r="R70" s="40">
        <v>1697</v>
      </c>
      <c r="S70" s="40">
        <v>1</v>
      </c>
      <c r="T70" s="40">
        <v>9</v>
      </c>
      <c r="U70" s="48">
        <f t="shared" si="45"/>
        <v>1697.0875000000001</v>
      </c>
      <c r="V70" s="24">
        <f t="shared" si="46"/>
        <v>1697.0875000000001</v>
      </c>
      <c r="W70" s="28">
        <v>4806</v>
      </c>
      <c r="X70">
        <v>18</v>
      </c>
      <c r="Y70">
        <v>11</v>
      </c>
      <c r="Z70" s="28">
        <f t="shared" si="53"/>
        <v>1153667</v>
      </c>
      <c r="AA70">
        <v>940</v>
      </c>
      <c r="AB70">
        <v>9</v>
      </c>
      <c r="AC70">
        <v>1</v>
      </c>
      <c r="AD70" s="28">
        <f t="shared" si="54"/>
        <v>225709</v>
      </c>
      <c r="AE70">
        <v>1054</v>
      </c>
      <c r="AF70">
        <v>7</v>
      </c>
      <c r="AG70">
        <v>10</v>
      </c>
      <c r="AH70" s="28">
        <f t="shared" si="55"/>
        <v>253054</v>
      </c>
      <c r="AM70">
        <v>7046</v>
      </c>
      <c r="AN70">
        <v>9</v>
      </c>
      <c r="AO70">
        <v>10</v>
      </c>
      <c r="AP70" s="24">
        <f t="shared" si="47"/>
        <v>7046.4916666666668</v>
      </c>
      <c r="AQ70" s="36">
        <f t="shared" si="48"/>
        <v>7046.4916666666668</v>
      </c>
      <c r="AR70">
        <f>222+556+52+342</f>
        <v>1172</v>
      </c>
      <c r="AS70">
        <f>7+10+3+6</f>
        <v>26</v>
      </c>
      <c r="AT70">
        <f>0+0+3+11</f>
        <v>14</v>
      </c>
      <c r="AU70" s="24">
        <f t="shared" si="49"/>
        <v>1173.3583333333333</v>
      </c>
      <c r="AV70" s="116">
        <f t="shared" si="60"/>
        <v>9601.8708333333325</v>
      </c>
      <c r="AW70">
        <v>70</v>
      </c>
      <c r="AX70">
        <v>7</v>
      </c>
      <c r="AY70">
        <v>4</v>
      </c>
      <c r="AZ70" s="9">
        <f t="shared" si="56"/>
        <v>16888</v>
      </c>
      <c r="BA70" s="9">
        <v>244</v>
      </c>
      <c r="BB70" s="9">
        <v>14</v>
      </c>
      <c r="BC70" s="9">
        <v>0</v>
      </c>
      <c r="BD70">
        <f t="shared" si="57"/>
        <v>58728</v>
      </c>
      <c r="BH70" s="111">
        <f t="shared" si="58"/>
        <v>315.06666666666666</v>
      </c>
      <c r="BI70" s="102">
        <f t="shared" si="61"/>
        <v>9916.9375</v>
      </c>
      <c r="BJ70">
        <f>43+16</f>
        <v>59</v>
      </c>
      <c r="BK70">
        <f>5+3</f>
        <v>8</v>
      </c>
      <c r="BL70">
        <f>0+0</f>
        <v>0</v>
      </c>
      <c r="BM70" s="36">
        <f t="shared" si="43"/>
        <v>59.4</v>
      </c>
      <c r="BN70" s="36"/>
      <c r="BO70" s="36">
        <f>((1557*240)+(3*12)+2)/240</f>
        <v>1557.1583333333333</v>
      </c>
      <c r="BP70" s="36"/>
      <c r="BQ70" s="36"/>
      <c r="BR70" s="36">
        <f t="shared" si="42"/>
        <v>1616.5583333333334</v>
      </c>
      <c r="BS70">
        <f>11533</f>
        <v>11533</v>
      </c>
      <c r="BT70">
        <v>9</v>
      </c>
      <c r="BU70">
        <v>11</v>
      </c>
      <c r="BV70" s="28">
        <f>((240*BS70)+(12*BT70)+BU70)/240</f>
        <v>11533.495833333332</v>
      </c>
      <c r="BW70" s="28">
        <f t="shared" si="59"/>
        <v>11533.495833333334</v>
      </c>
      <c r="BX70" s="128">
        <f>BW70/'RPI_1880-2010'!B69*100</f>
        <v>351952.87864917098</v>
      </c>
      <c r="BY70" s="35" t="s">
        <v>78</v>
      </c>
    </row>
    <row r="71" spans="1:77" x14ac:dyDescent="0.25">
      <c r="A71" s="29">
        <v>1948</v>
      </c>
      <c r="B71">
        <v>3680</v>
      </c>
      <c r="C71">
        <v>14</v>
      </c>
      <c r="D71">
        <v>1</v>
      </c>
      <c r="E71" s="28">
        <f t="shared" si="51"/>
        <v>883369</v>
      </c>
      <c r="F71">
        <v>361</v>
      </c>
      <c r="G71">
        <v>0</v>
      </c>
      <c r="H71">
        <v>10</v>
      </c>
      <c r="I71" s="28">
        <f t="shared" si="44"/>
        <v>86650</v>
      </c>
      <c r="J71">
        <v>466</v>
      </c>
      <c r="K71">
        <v>17</v>
      </c>
      <c r="L71">
        <v>2</v>
      </c>
      <c r="M71" s="24">
        <f t="shared" si="52"/>
        <v>112046</v>
      </c>
      <c r="R71" s="47">
        <v>4606</v>
      </c>
      <c r="S71" s="68">
        <v>4</v>
      </c>
      <c r="T71" s="68">
        <v>11</v>
      </c>
      <c r="U71" s="48">
        <f t="shared" si="45"/>
        <v>4606.2458333333334</v>
      </c>
      <c r="V71" s="24">
        <f t="shared" si="46"/>
        <v>4606.2458333333334</v>
      </c>
      <c r="W71" s="28">
        <v>5747</v>
      </c>
      <c r="X71">
        <v>10</v>
      </c>
      <c r="Y71">
        <v>8</v>
      </c>
      <c r="Z71" s="28">
        <f t="shared" si="53"/>
        <v>1379408</v>
      </c>
      <c r="AA71">
        <v>522</v>
      </c>
      <c r="AB71">
        <v>4</v>
      </c>
      <c r="AC71">
        <v>5</v>
      </c>
      <c r="AD71" s="28">
        <f t="shared" si="54"/>
        <v>125333</v>
      </c>
      <c r="AE71">
        <v>1371</v>
      </c>
      <c r="AF71">
        <v>11</v>
      </c>
      <c r="AG71">
        <v>10</v>
      </c>
      <c r="AH71" s="28">
        <f t="shared" si="55"/>
        <v>329182</v>
      </c>
      <c r="AM71">
        <v>7812</v>
      </c>
      <c r="AN71">
        <v>8</v>
      </c>
      <c r="AO71">
        <v>9</v>
      </c>
      <c r="AP71" s="24">
        <f t="shared" si="47"/>
        <v>7812.4375</v>
      </c>
      <c r="AQ71" s="36">
        <f t="shared" si="48"/>
        <v>7812.4375</v>
      </c>
      <c r="AR71">
        <f>0+367+573+370</f>
        <v>1310</v>
      </c>
      <c r="AS71">
        <f>8+6+4+16</f>
        <v>34</v>
      </c>
      <c r="AT71">
        <f>3+10+8+8</f>
        <v>29</v>
      </c>
      <c r="AU71" s="24">
        <f t="shared" si="49"/>
        <v>1311.8208333333334</v>
      </c>
      <c r="AV71" s="116">
        <f t="shared" si="60"/>
        <v>13461.770833333332</v>
      </c>
      <c r="AW71">
        <v>97</v>
      </c>
      <c r="AX71">
        <v>12</v>
      </c>
      <c r="AY71">
        <v>10</v>
      </c>
      <c r="AZ71" s="9">
        <f t="shared" si="56"/>
        <v>23434</v>
      </c>
      <c r="BA71" s="9">
        <v>171</v>
      </c>
      <c r="BB71" s="9">
        <v>1</v>
      </c>
      <c r="BC71" s="9">
        <v>10</v>
      </c>
      <c r="BD71">
        <f t="shared" si="57"/>
        <v>41062</v>
      </c>
      <c r="BH71" s="111">
        <f t="shared" si="58"/>
        <v>268.73333333333335</v>
      </c>
      <c r="BI71" s="102">
        <f t="shared" si="61"/>
        <v>13730.504166666666</v>
      </c>
      <c r="BJ71">
        <f>14+16</f>
        <v>30</v>
      </c>
      <c r="BK71">
        <f>15+3</f>
        <v>18</v>
      </c>
      <c r="BL71">
        <f>4+0</f>
        <v>4</v>
      </c>
      <c r="BM71" s="36">
        <f t="shared" si="43"/>
        <v>30.916666666666668</v>
      </c>
      <c r="BN71" s="36"/>
      <c r="BO71" s="36">
        <f>((1728*240)+(11*12)+6)/240</f>
        <v>1728.575</v>
      </c>
      <c r="BP71" s="36"/>
      <c r="BQ71" s="36"/>
      <c r="BR71" s="36">
        <f t="shared" si="42"/>
        <v>1759.4916666666668</v>
      </c>
      <c r="BS71">
        <f>16876-1386</f>
        <v>15490</v>
      </c>
      <c r="BT71">
        <f>18-19</f>
        <v>-1</v>
      </c>
      <c r="BU71">
        <f>11-0</f>
        <v>11</v>
      </c>
      <c r="BV71" s="28">
        <f>((240*BS71)+(12*BT71)+BU71)/240</f>
        <v>15489.995833333332</v>
      </c>
      <c r="BW71" s="28">
        <f t="shared" si="59"/>
        <v>15489.995833333332</v>
      </c>
      <c r="BX71" s="128">
        <f>BW71/'RPI_1880-2010'!B70*100</f>
        <v>439307.87956135371</v>
      </c>
      <c r="BY71" s="35" t="s">
        <v>81</v>
      </c>
    </row>
    <row r="72" spans="1:77" ht="15" customHeight="1" x14ac:dyDescent="0.25">
      <c r="A72" s="29">
        <v>1949</v>
      </c>
      <c r="B72">
        <v>2377</v>
      </c>
      <c r="C72">
        <v>7</v>
      </c>
      <c r="D72">
        <v>9</v>
      </c>
      <c r="E72" s="28">
        <f t="shared" si="51"/>
        <v>570573</v>
      </c>
      <c r="F72">
        <v>363</v>
      </c>
      <c r="G72">
        <v>15</v>
      </c>
      <c r="H72">
        <v>9</v>
      </c>
      <c r="I72" s="28">
        <f t="shared" si="44"/>
        <v>87309</v>
      </c>
      <c r="J72">
        <v>321</v>
      </c>
      <c r="K72" s="28">
        <v>6</v>
      </c>
      <c r="L72">
        <v>10</v>
      </c>
      <c r="M72" s="24">
        <f t="shared" si="52"/>
        <v>77122</v>
      </c>
      <c r="Q72" s="27"/>
      <c r="R72" s="69">
        <v>3147</v>
      </c>
      <c r="S72" s="69">
        <v>1</v>
      </c>
      <c r="T72" s="69">
        <v>7</v>
      </c>
      <c r="U72" s="48">
        <f t="shared" si="45"/>
        <v>3147.0791666666669</v>
      </c>
      <c r="V72" s="24">
        <f t="shared" si="46"/>
        <v>3147.0791666666669</v>
      </c>
      <c r="W72" s="28">
        <v>6895</v>
      </c>
      <c r="X72">
        <v>9</v>
      </c>
      <c r="Y72">
        <v>2</v>
      </c>
      <c r="Z72" s="28">
        <f t="shared" si="53"/>
        <v>1654910</v>
      </c>
      <c r="AA72">
        <v>1463</v>
      </c>
      <c r="AB72">
        <v>15</v>
      </c>
      <c r="AC72">
        <v>1</v>
      </c>
      <c r="AD72" s="28">
        <f t="shared" si="54"/>
        <v>351301</v>
      </c>
      <c r="AE72">
        <v>934</v>
      </c>
      <c r="AF72">
        <v>4</v>
      </c>
      <c r="AG72">
        <v>9</v>
      </c>
      <c r="AH72" s="28">
        <f t="shared" si="55"/>
        <v>224217</v>
      </c>
      <c r="AM72">
        <v>9486</v>
      </c>
      <c r="AN72">
        <v>16</v>
      </c>
      <c r="AO72">
        <v>1</v>
      </c>
      <c r="AP72" s="24">
        <f t="shared" si="47"/>
        <v>9486.8041666666668</v>
      </c>
      <c r="AQ72" s="36">
        <f t="shared" si="48"/>
        <v>9486.8041666666668</v>
      </c>
      <c r="AR72">
        <f>394+678+442</f>
        <v>1514</v>
      </c>
      <c r="AS72">
        <f>13+16+19</f>
        <v>48</v>
      </c>
      <c r="AT72">
        <f>5+2+1</f>
        <v>8</v>
      </c>
      <c r="AU72" s="24">
        <f t="shared" si="49"/>
        <v>1516.4333333333334</v>
      </c>
      <c r="AV72" s="116">
        <f t="shared" si="60"/>
        <v>13872.4</v>
      </c>
      <c r="AW72">
        <v>84</v>
      </c>
      <c r="AX72">
        <v>11</v>
      </c>
      <c r="AY72">
        <v>3</v>
      </c>
      <c r="AZ72" s="9">
        <f t="shared" si="56"/>
        <v>20295</v>
      </c>
      <c r="BA72" s="9">
        <v>193</v>
      </c>
      <c r="BB72" s="9">
        <v>7</v>
      </c>
      <c r="BC72" s="9">
        <v>1</v>
      </c>
      <c r="BD72">
        <f t="shared" si="57"/>
        <v>46405</v>
      </c>
      <c r="BH72" s="111">
        <f t="shared" si="58"/>
        <v>277.91666666666669</v>
      </c>
      <c r="BI72" s="102">
        <f t="shared" si="61"/>
        <v>14150.316666666666</v>
      </c>
      <c r="BJ72">
        <f>16+22</f>
        <v>38</v>
      </c>
      <c r="BK72">
        <f>3+5+0</f>
        <v>8</v>
      </c>
      <c r="BL72">
        <f>0+0+4</f>
        <v>4</v>
      </c>
      <c r="BM72" s="36">
        <f t="shared" si="43"/>
        <v>38.416666666666664</v>
      </c>
      <c r="BN72" s="36"/>
      <c r="BO72" s="36">
        <v>2350</v>
      </c>
      <c r="BP72" s="36"/>
      <c r="BQ72" s="36"/>
      <c r="BR72" s="36">
        <f t="shared" si="42"/>
        <v>2388.4166666666665</v>
      </c>
      <c r="BS72">
        <f>20537-200-3798</f>
        <v>16539</v>
      </c>
      <c r="BT72">
        <f>8-0-13</f>
        <v>-5</v>
      </c>
      <c r="BU72">
        <f>0-0-4</f>
        <v>-4</v>
      </c>
      <c r="BV72" s="28">
        <f>((240*BS72)+(12*BT72)+BU72)/240</f>
        <v>16538.733333333334</v>
      </c>
      <c r="BW72" s="28">
        <f t="shared" si="59"/>
        <v>16538.733333333334</v>
      </c>
      <c r="BX72" s="128">
        <f>BW72/'RPI_1880-2010'!B71*100</f>
        <v>455738.03618995135</v>
      </c>
      <c r="BY72" s="35" t="s">
        <v>84</v>
      </c>
    </row>
    <row r="73" spans="1:77" x14ac:dyDescent="0.25">
      <c r="A73" s="29">
        <v>1950</v>
      </c>
      <c r="B73">
        <v>2201</v>
      </c>
      <c r="C73">
        <v>6</v>
      </c>
      <c r="D73">
        <v>4</v>
      </c>
      <c r="E73" s="28">
        <f t="shared" si="51"/>
        <v>528316</v>
      </c>
      <c r="F73">
        <v>418</v>
      </c>
      <c r="G73">
        <v>3</v>
      </c>
      <c r="H73">
        <v>11</v>
      </c>
      <c r="I73" s="28">
        <f t="shared" si="44"/>
        <v>100367</v>
      </c>
      <c r="J73">
        <v>1013</v>
      </c>
      <c r="K73">
        <v>0</v>
      </c>
      <c r="L73">
        <v>9</v>
      </c>
      <c r="M73" s="24">
        <f t="shared" si="52"/>
        <v>243129</v>
      </c>
      <c r="Q73" s="67"/>
      <c r="R73" s="69">
        <v>3709</v>
      </c>
      <c r="S73" s="69">
        <v>0</v>
      </c>
      <c r="T73" s="69">
        <v>9</v>
      </c>
      <c r="U73" s="48">
        <f t="shared" si="45"/>
        <v>3709.0374999999999</v>
      </c>
      <c r="V73" s="24">
        <f t="shared" si="46"/>
        <v>3709.0374999999999</v>
      </c>
      <c r="W73" s="28">
        <v>7381</v>
      </c>
      <c r="X73">
        <v>4</v>
      </c>
      <c r="Y73">
        <v>1</v>
      </c>
      <c r="Z73" s="28">
        <f t="shared" si="53"/>
        <v>1771489</v>
      </c>
      <c r="AA73">
        <v>1504</v>
      </c>
      <c r="AB73">
        <v>7</v>
      </c>
      <c r="AC73">
        <v>4</v>
      </c>
      <c r="AD73" s="28">
        <f t="shared" si="54"/>
        <v>361048</v>
      </c>
      <c r="AE73">
        <v>2137</v>
      </c>
      <c r="AF73">
        <v>13</v>
      </c>
      <c r="AG73">
        <v>4</v>
      </c>
      <c r="AH73" s="28">
        <f t="shared" si="55"/>
        <v>513040</v>
      </c>
      <c r="AM73">
        <v>11230</v>
      </c>
      <c r="AN73">
        <v>15</v>
      </c>
      <c r="AO73">
        <v>6</v>
      </c>
      <c r="AP73" s="24">
        <f t="shared" si="47"/>
        <v>11230.775</v>
      </c>
      <c r="AQ73" s="36">
        <f t="shared" si="48"/>
        <v>11230.775</v>
      </c>
      <c r="AR73">
        <f>633+706+469</f>
        <v>1808</v>
      </c>
      <c r="AS73">
        <f>5+6+2</f>
        <v>13</v>
      </c>
      <c r="AT73">
        <f>6+1+8</f>
        <v>15</v>
      </c>
      <c r="AU73" s="24">
        <f t="shared" si="49"/>
        <v>1808.7125000000001</v>
      </c>
      <c r="AV73" s="116">
        <f t="shared" si="60"/>
        <v>16464.499999999996</v>
      </c>
      <c r="AW73">
        <v>76</v>
      </c>
      <c r="AX73">
        <v>9</v>
      </c>
      <c r="AY73">
        <v>9</v>
      </c>
      <c r="AZ73" s="9">
        <f t="shared" si="56"/>
        <v>18357</v>
      </c>
      <c r="BA73" s="9">
        <v>207</v>
      </c>
      <c r="BB73" s="9">
        <v>10</v>
      </c>
      <c r="BC73" s="9">
        <v>9</v>
      </c>
      <c r="BD73">
        <f t="shared" si="57"/>
        <v>49809</v>
      </c>
      <c r="BH73" s="111">
        <f t="shared" si="58"/>
        <v>284.02499999999998</v>
      </c>
      <c r="BI73" s="102">
        <f t="shared" si="61"/>
        <v>16748.524999999998</v>
      </c>
      <c r="BJ73">
        <f>16+15</f>
        <v>31</v>
      </c>
      <c r="BK73">
        <f>3+0+0</f>
        <v>3</v>
      </c>
      <c r="BL73">
        <f>0+7+5</f>
        <v>12</v>
      </c>
      <c r="BM73" s="36">
        <f t="shared" si="43"/>
        <v>31.2</v>
      </c>
      <c r="BN73" s="36"/>
      <c r="BO73" s="36">
        <v>2526</v>
      </c>
      <c r="BP73" s="36"/>
      <c r="BQ73" s="36"/>
      <c r="BR73" s="36">
        <f t="shared" si="42"/>
        <v>2557.1999999999998</v>
      </c>
      <c r="BS73">
        <f>21543-2238</f>
        <v>19305</v>
      </c>
      <c r="BT73">
        <f>17-2</f>
        <v>15</v>
      </c>
      <c r="BU73">
        <f>4-10</f>
        <v>-6</v>
      </c>
      <c r="BV73" s="28">
        <f>((240*BS73)+(12*BT73)+BU73)/240</f>
        <v>19305.724999999999</v>
      </c>
      <c r="BW73" s="28">
        <f t="shared" si="59"/>
        <v>19305.724999999999</v>
      </c>
      <c r="BX73" s="128">
        <f>BW73/'RPI_1880-2010'!B72*100</f>
        <v>515919.96258685197</v>
      </c>
      <c r="BY73" s="35" t="s">
        <v>85</v>
      </c>
    </row>
    <row r="74" spans="1:77" x14ac:dyDescent="0.25">
      <c r="A74" s="83">
        <v>1951</v>
      </c>
      <c r="B74">
        <v>4553</v>
      </c>
      <c r="C74">
        <v>13</v>
      </c>
      <c r="D74">
        <v>0</v>
      </c>
      <c r="E74" s="28">
        <f t="shared" si="51"/>
        <v>1092876</v>
      </c>
      <c r="F74">
        <v>461</v>
      </c>
      <c r="G74">
        <v>17</v>
      </c>
      <c r="H74">
        <v>8</v>
      </c>
      <c r="I74" s="28">
        <f t="shared" si="44"/>
        <v>110852</v>
      </c>
      <c r="J74">
        <v>531</v>
      </c>
      <c r="K74">
        <v>14</v>
      </c>
      <c r="L74">
        <v>11</v>
      </c>
      <c r="M74" s="24">
        <f t="shared" si="52"/>
        <v>127619</v>
      </c>
      <c r="Q74" s="67"/>
      <c r="R74" s="67">
        <v>5660</v>
      </c>
      <c r="S74" s="67">
        <v>11</v>
      </c>
      <c r="T74" s="67">
        <v>9</v>
      </c>
      <c r="U74" s="48">
        <f t="shared" si="45"/>
        <v>5660.5874999999996</v>
      </c>
      <c r="V74" s="24">
        <f t="shared" si="46"/>
        <v>5660.5874999999996</v>
      </c>
      <c r="W74" s="28">
        <v>9703</v>
      </c>
      <c r="X74">
        <v>19</v>
      </c>
      <c r="Y74">
        <v>6</v>
      </c>
      <c r="Z74" s="28">
        <f t="shared" si="53"/>
        <v>2328954</v>
      </c>
      <c r="AA74">
        <v>2589</v>
      </c>
      <c r="AB74">
        <v>8</v>
      </c>
      <c r="AC74">
        <v>10</v>
      </c>
      <c r="AD74" s="28">
        <f t="shared" si="54"/>
        <v>621466</v>
      </c>
      <c r="AE74">
        <v>1730</v>
      </c>
      <c r="AF74">
        <v>7</v>
      </c>
      <c r="AG74">
        <v>6</v>
      </c>
      <c r="AH74" s="28">
        <f t="shared" si="55"/>
        <v>415290</v>
      </c>
      <c r="AM74">
        <v>14285</v>
      </c>
      <c r="AN74">
        <v>17</v>
      </c>
      <c r="AO74">
        <v>2</v>
      </c>
      <c r="AP74" s="24">
        <f t="shared" si="47"/>
        <v>14285.858333333334</v>
      </c>
      <c r="AQ74" s="36">
        <f t="shared" si="48"/>
        <v>14285.858333333334</v>
      </c>
      <c r="AR74">
        <f>69+698+640+18+518</f>
        <v>1943</v>
      </c>
      <c r="AS74">
        <f>1+3+13+7+1</f>
        <v>25</v>
      </c>
      <c r="AT74">
        <f>1+10+3+10+0</f>
        <v>24</v>
      </c>
      <c r="AU74" s="24">
        <f t="shared" si="49"/>
        <v>1944.35</v>
      </c>
      <c r="AV74" s="116">
        <f t="shared" si="60"/>
        <v>21515.420833333334</v>
      </c>
      <c r="AW74">
        <v>113</v>
      </c>
      <c r="AX74">
        <v>6</v>
      </c>
      <c r="AY74">
        <v>2</v>
      </c>
      <c r="AZ74" s="9">
        <f t="shared" si="56"/>
        <v>27194</v>
      </c>
      <c r="BA74" s="9">
        <v>262</v>
      </c>
      <c r="BB74" s="9">
        <v>1</v>
      </c>
      <c r="BC74" s="9">
        <v>4</v>
      </c>
      <c r="BD74">
        <f t="shared" si="57"/>
        <v>62896</v>
      </c>
      <c r="BH74" s="111">
        <f t="shared" si="58"/>
        <v>375.375</v>
      </c>
      <c r="BI74" s="102">
        <f t="shared" si="61"/>
        <v>21890.795833333334</v>
      </c>
      <c r="BJ74">
        <f>16+35</f>
        <v>51</v>
      </c>
      <c r="BK74">
        <f>3+15</f>
        <v>18</v>
      </c>
      <c r="BL74">
        <f>0+6</f>
        <v>6</v>
      </c>
      <c r="BM74" s="36">
        <f t="shared" si="43"/>
        <v>51.924999999999997</v>
      </c>
      <c r="BN74" s="36"/>
      <c r="BO74" s="36">
        <f>((2805*240)+17+6)/240</f>
        <v>2805.0958333333333</v>
      </c>
      <c r="BP74" s="36"/>
      <c r="BQ74" s="36"/>
      <c r="BR74" s="36">
        <f t="shared" si="42"/>
        <v>2857.0208333333335</v>
      </c>
      <c r="BS74">
        <f>27850-3102</f>
        <v>24748</v>
      </c>
      <c r="BT74">
        <f>18-6</f>
        <v>12</v>
      </c>
      <c r="BU74">
        <f>4-5</f>
        <v>-1</v>
      </c>
      <c r="BV74" s="28">
        <f>((240*BS74)+(12*BT74)+BU74)/240</f>
        <v>24748.595833333333</v>
      </c>
      <c r="BW74" s="28">
        <f t="shared" si="59"/>
        <v>24747.816666666666</v>
      </c>
      <c r="BX74" s="128">
        <f>BW74/'RPI_1880-2010'!B73*100</f>
        <v>606266.94430834556</v>
      </c>
      <c r="BY74" s="35" t="s">
        <v>109</v>
      </c>
    </row>
    <row r="75" spans="1:77" x14ac:dyDescent="0.25">
      <c r="A75" s="29">
        <v>1952</v>
      </c>
      <c r="B75">
        <v>4838</v>
      </c>
      <c r="C75">
        <v>18</v>
      </c>
      <c r="D75">
        <v>5</v>
      </c>
      <c r="E75" s="28">
        <f t="shared" si="51"/>
        <v>1161341</v>
      </c>
      <c r="F75">
        <v>1364</v>
      </c>
      <c r="G75">
        <v>4</v>
      </c>
      <c r="H75">
        <v>9</v>
      </c>
      <c r="I75" s="28">
        <f t="shared" si="44"/>
        <v>327417</v>
      </c>
      <c r="J75">
        <v>872</v>
      </c>
      <c r="K75">
        <v>15</v>
      </c>
      <c r="L75">
        <v>9</v>
      </c>
      <c r="M75" s="24">
        <f t="shared" si="52"/>
        <v>209469</v>
      </c>
      <c r="Q75" s="67"/>
      <c r="R75" s="67">
        <v>7710</v>
      </c>
      <c r="S75" s="67">
        <v>9</v>
      </c>
      <c r="T75" s="67">
        <v>11</v>
      </c>
      <c r="U75" s="48">
        <f t="shared" si="45"/>
        <v>7710.4958333333334</v>
      </c>
      <c r="V75" s="24">
        <f t="shared" si="46"/>
        <v>7710.4958333333334</v>
      </c>
      <c r="W75" s="28">
        <v>14535</v>
      </c>
      <c r="X75">
        <v>3</v>
      </c>
      <c r="Y75">
        <v>10</v>
      </c>
      <c r="Z75" s="28">
        <f t="shared" si="53"/>
        <v>3488446</v>
      </c>
      <c r="AA75">
        <v>4341</v>
      </c>
      <c r="AB75">
        <v>4</v>
      </c>
      <c r="AC75">
        <v>1</v>
      </c>
      <c r="AD75" s="28">
        <f t="shared" si="54"/>
        <v>1041889</v>
      </c>
      <c r="AE75">
        <v>1713</v>
      </c>
      <c r="AF75">
        <v>14</v>
      </c>
      <c r="AG75">
        <v>10</v>
      </c>
      <c r="AH75" s="28">
        <f t="shared" si="55"/>
        <v>411298</v>
      </c>
      <c r="AM75">
        <v>21391</v>
      </c>
      <c r="AN75">
        <v>3</v>
      </c>
      <c r="AO75">
        <v>3</v>
      </c>
      <c r="AP75" s="24">
        <f t="shared" si="47"/>
        <v>21391.162499999999</v>
      </c>
      <c r="AQ75" s="36">
        <f t="shared" si="48"/>
        <v>21391.162499999999</v>
      </c>
      <c r="AR75">
        <f>48+1138+791+44+684</f>
        <v>2705</v>
      </c>
      <c r="AS75">
        <f>0+10+10+5+5</f>
        <v>30</v>
      </c>
      <c r="AT75">
        <f>0+0+11+0+5</f>
        <v>16</v>
      </c>
      <c r="AU75" s="24">
        <f t="shared" si="49"/>
        <v>2706.5666666666666</v>
      </c>
      <c r="AV75" s="116">
        <f t="shared" si="60"/>
        <v>30372.649999999998</v>
      </c>
      <c r="AW75">
        <v>634</v>
      </c>
      <c r="AX75">
        <v>11</v>
      </c>
      <c r="AY75">
        <v>0</v>
      </c>
      <c r="AZ75" s="9">
        <f t="shared" si="56"/>
        <v>152292</v>
      </c>
      <c r="BA75" s="9">
        <v>801</v>
      </c>
      <c r="BB75" s="9">
        <v>0</v>
      </c>
      <c r="BC75" s="9">
        <v>6</v>
      </c>
      <c r="BD75">
        <f t="shared" si="57"/>
        <v>192246</v>
      </c>
      <c r="BH75" s="111">
        <f t="shared" si="58"/>
        <v>1435.575</v>
      </c>
      <c r="BI75" s="102">
        <f t="shared" si="61"/>
        <v>31808.224999999999</v>
      </c>
      <c r="BJ75">
        <v>16</v>
      </c>
      <c r="BK75">
        <v>3</v>
      </c>
      <c r="BL75">
        <v>0</v>
      </c>
      <c r="BM75" s="36">
        <f t="shared" si="43"/>
        <v>16.149999999999999</v>
      </c>
      <c r="BN75" s="36"/>
      <c r="BO75" s="36">
        <f>((3481*240)+(13*12)+11)/240</f>
        <v>3481.6958333333332</v>
      </c>
      <c r="BP75" s="36"/>
      <c r="BQ75" s="36"/>
      <c r="BR75" s="36">
        <f t="shared" si="42"/>
        <v>3497.8458333333333</v>
      </c>
      <c r="BS75">
        <v>35306</v>
      </c>
      <c r="BT75">
        <v>1</v>
      </c>
      <c r="BU75">
        <v>5</v>
      </c>
      <c r="BV75" s="28">
        <f t="shared" ref="BV75:BV80" si="62">((240*BS75)+(12*BT75)+BU75)/240</f>
        <v>35306.070833333331</v>
      </c>
      <c r="BW75" s="28">
        <f t="shared" si="59"/>
        <v>35306.070833333331</v>
      </c>
      <c r="BX75" s="128">
        <f>BW75/'RPI_1880-2010'!B74*100</f>
        <v>792326.54473369231</v>
      </c>
      <c r="BY75" s="19" t="s">
        <v>158</v>
      </c>
    </row>
    <row r="76" spans="1:77" x14ac:dyDescent="0.25">
      <c r="A76" s="29">
        <v>1953</v>
      </c>
      <c r="B76">
        <v>4103</v>
      </c>
      <c r="C76">
        <v>15</v>
      </c>
      <c r="D76">
        <v>11</v>
      </c>
      <c r="E76" s="28">
        <f t="shared" si="51"/>
        <v>984911</v>
      </c>
      <c r="F76">
        <v>753</v>
      </c>
      <c r="G76">
        <v>6</v>
      </c>
      <c r="H76">
        <v>0</v>
      </c>
      <c r="I76" s="28">
        <f t="shared" si="44"/>
        <v>180792</v>
      </c>
      <c r="J76">
        <v>379</v>
      </c>
      <c r="K76">
        <v>16</v>
      </c>
      <c r="L76">
        <v>0</v>
      </c>
      <c r="M76" s="24">
        <f t="shared" si="52"/>
        <v>91152</v>
      </c>
      <c r="Q76" s="67"/>
      <c r="R76" s="67">
        <v>5334</v>
      </c>
      <c r="S76" s="67">
        <v>10</v>
      </c>
      <c r="T76" s="67">
        <v>8</v>
      </c>
      <c r="U76" s="48">
        <f t="shared" si="45"/>
        <v>5334.5333333333338</v>
      </c>
      <c r="V76" s="24">
        <f t="shared" si="46"/>
        <v>5334.5333333333338</v>
      </c>
      <c r="W76" s="28">
        <v>12642</v>
      </c>
      <c r="X76">
        <v>5</v>
      </c>
      <c r="Y76">
        <v>6</v>
      </c>
      <c r="Z76" s="28">
        <f t="shared" si="53"/>
        <v>3034146</v>
      </c>
      <c r="AA76">
        <v>4605</v>
      </c>
      <c r="AB76">
        <v>5</v>
      </c>
      <c r="AC76">
        <v>8</v>
      </c>
      <c r="AD76" s="28">
        <f t="shared" si="54"/>
        <v>1105268</v>
      </c>
      <c r="AE76">
        <v>1822</v>
      </c>
      <c r="AF76">
        <v>4</v>
      </c>
      <c r="AG76">
        <v>5</v>
      </c>
      <c r="AH76" s="28">
        <f t="shared" si="55"/>
        <v>437333</v>
      </c>
      <c r="AM76">
        <v>19497</v>
      </c>
      <c r="AN76">
        <v>12</v>
      </c>
      <c r="AO76">
        <v>6</v>
      </c>
      <c r="AP76" s="24">
        <f t="shared" si="47"/>
        <v>19497.625</v>
      </c>
      <c r="AQ76" s="36">
        <f t="shared" si="48"/>
        <v>19497.625</v>
      </c>
      <c r="AR76">
        <f>550+1126+723</f>
        <v>2399</v>
      </c>
      <c r="AS76">
        <f>6+18+12</f>
        <v>36</v>
      </c>
      <c r="AT76">
        <f>4+9+9</f>
        <v>22</v>
      </c>
      <c r="AU76" s="24">
        <f t="shared" si="49"/>
        <v>2400.8916666666669</v>
      </c>
      <c r="AV76" s="116">
        <f t="shared" si="60"/>
        <v>26707.566666666666</v>
      </c>
      <c r="AW76">
        <v>97</v>
      </c>
      <c r="AX76">
        <v>12</v>
      </c>
      <c r="AY76">
        <v>9</v>
      </c>
      <c r="AZ76" s="9">
        <f t="shared" si="56"/>
        <v>23433</v>
      </c>
      <c r="BA76" s="9">
        <v>427</v>
      </c>
      <c r="BB76" s="9">
        <v>16</v>
      </c>
      <c r="BC76" s="9">
        <v>11</v>
      </c>
      <c r="BD76">
        <f t="shared" si="57"/>
        <v>102683</v>
      </c>
      <c r="BH76" s="111">
        <f t="shared" si="58"/>
        <v>525.48333333333335</v>
      </c>
      <c r="BI76" s="102">
        <f t="shared" si="61"/>
        <v>27233.05</v>
      </c>
      <c r="BJ76">
        <v>33</v>
      </c>
      <c r="BK76">
        <v>18</v>
      </c>
      <c r="BL76">
        <v>6</v>
      </c>
      <c r="BM76" s="36">
        <f t="shared" si="43"/>
        <v>33.924999999999997</v>
      </c>
      <c r="BN76" s="36"/>
      <c r="BO76" s="36">
        <f>((3563*240)+(2*12)+3)/240</f>
        <v>3563.1125000000002</v>
      </c>
      <c r="BP76" s="36"/>
      <c r="BQ76" s="36"/>
      <c r="BR76" s="36">
        <f t="shared" si="42"/>
        <v>3597.0375000000004</v>
      </c>
      <c r="BS76">
        <f>31463-633</f>
        <v>30830</v>
      </c>
      <c r="BT76">
        <f>19-17</f>
        <v>2</v>
      </c>
      <c r="BU76">
        <f>3-6</f>
        <v>-3</v>
      </c>
      <c r="BV76" s="28">
        <f t="shared" si="62"/>
        <v>30830.087500000001</v>
      </c>
      <c r="BW76" s="28">
        <f t="shared" si="59"/>
        <v>30830.087500000001</v>
      </c>
      <c r="BX76" s="128">
        <f>BW76/'RPI_1880-2010'!B75*100</f>
        <v>671386.92290940776</v>
      </c>
      <c r="BY76" s="19" t="s">
        <v>137</v>
      </c>
    </row>
    <row r="77" spans="1:77" ht="35.25" customHeight="1" x14ac:dyDescent="0.25">
      <c r="A77" s="29">
        <v>1954</v>
      </c>
      <c r="B77">
        <v>992</v>
      </c>
      <c r="C77">
        <v>11</v>
      </c>
      <c r="D77">
        <v>8</v>
      </c>
      <c r="E77" s="28">
        <f t="shared" si="51"/>
        <v>238220</v>
      </c>
      <c r="F77">
        <v>863</v>
      </c>
      <c r="G77">
        <v>3</v>
      </c>
      <c r="H77">
        <v>5</v>
      </c>
      <c r="I77" s="28">
        <f t="shared" si="44"/>
        <v>207161</v>
      </c>
      <c r="J77">
        <v>771</v>
      </c>
      <c r="K77">
        <v>5</v>
      </c>
      <c r="L77">
        <v>5</v>
      </c>
      <c r="M77" s="24">
        <f t="shared" si="52"/>
        <v>185105</v>
      </c>
      <c r="Q77" s="67"/>
      <c r="R77" s="67">
        <v>2790</v>
      </c>
      <c r="S77" s="67">
        <v>8</v>
      </c>
      <c r="T77" s="67">
        <v>7</v>
      </c>
      <c r="U77" s="48">
        <f t="shared" ref="U77:U80" si="63">((240*R77)+(12*S77)+T77)/240</f>
        <v>2790.4291666666668</v>
      </c>
      <c r="V77" s="24">
        <f t="shared" ref="V77" si="64">(I77+E77+M77+Q77+AZ77)/240</f>
        <v>2790.4291666666668</v>
      </c>
      <c r="W77" s="28">
        <v>9758</v>
      </c>
      <c r="X77">
        <v>14</v>
      </c>
      <c r="Y77">
        <v>11</v>
      </c>
      <c r="Z77" s="28">
        <f t="shared" si="53"/>
        <v>2342099</v>
      </c>
      <c r="AA77">
        <v>4012</v>
      </c>
      <c r="AB77">
        <v>4</v>
      </c>
      <c r="AC77">
        <v>4</v>
      </c>
      <c r="AD77" s="28">
        <f t="shared" si="54"/>
        <v>962932</v>
      </c>
      <c r="AE77">
        <v>1935</v>
      </c>
      <c r="AF77">
        <v>17</v>
      </c>
      <c r="AG77">
        <v>7</v>
      </c>
      <c r="AH77" s="28">
        <f t="shared" si="55"/>
        <v>464611</v>
      </c>
      <c r="AM77">
        <v>16067</v>
      </c>
      <c r="AN77">
        <v>8</v>
      </c>
      <c r="AO77">
        <v>5</v>
      </c>
      <c r="AP77" s="24">
        <f t="shared" si="47"/>
        <v>16067.420833333334</v>
      </c>
      <c r="AQ77" s="36">
        <f t="shared" si="48"/>
        <v>16067.420833333334</v>
      </c>
      <c r="AR77">
        <f>202+809+718</f>
        <v>1729</v>
      </c>
      <c r="AS77">
        <f>18+0+2</f>
        <v>20</v>
      </c>
      <c r="AT77">
        <f>2+6+6</f>
        <v>14</v>
      </c>
      <c r="AU77" s="24">
        <f t="shared" si="49"/>
        <v>1730.0583333333334</v>
      </c>
      <c r="AV77" s="116">
        <f t="shared" si="60"/>
        <v>20063.924999999999</v>
      </c>
      <c r="AW77">
        <v>163</v>
      </c>
      <c r="AX77">
        <v>8</v>
      </c>
      <c r="AY77">
        <v>1</v>
      </c>
      <c r="AZ77" s="9">
        <f t="shared" si="56"/>
        <v>39217</v>
      </c>
      <c r="BA77" s="9">
        <v>360</v>
      </c>
      <c r="BB77" s="9">
        <v>11</v>
      </c>
      <c r="BC77" s="9">
        <v>7</v>
      </c>
      <c r="BD77">
        <f t="shared" si="57"/>
        <v>86539</v>
      </c>
      <c r="BH77" s="111">
        <f t="shared" si="58"/>
        <v>523.98333333333335</v>
      </c>
      <c r="BI77" s="102">
        <f t="shared" si="61"/>
        <v>20587.908333333333</v>
      </c>
      <c r="BJ77">
        <f>2243+175+7+33</f>
        <v>2458</v>
      </c>
      <c r="BK77">
        <f>1+11+2+12</f>
        <v>26</v>
      </c>
      <c r="BL77">
        <f>10+7+2+1</f>
        <v>20</v>
      </c>
      <c r="BM77" s="36">
        <f t="shared" si="43"/>
        <v>2459.3833333333332</v>
      </c>
      <c r="BN77" s="36"/>
      <c r="BO77" s="36">
        <f>((3442*240)+(1*12)+5)/240</f>
        <v>3442.0708333333332</v>
      </c>
      <c r="BP77" s="36"/>
      <c r="BQ77" s="36"/>
      <c r="BR77" s="36">
        <f t="shared" si="42"/>
        <v>5901.4541666666664</v>
      </c>
      <c r="BS77">
        <f>27543-1053</f>
        <v>26490</v>
      </c>
      <c r="BT77">
        <f>3-16</f>
        <v>-13</v>
      </c>
      <c r="BU77">
        <f>11-8</f>
        <v>3</v>
      </c>
      <c r="BV77" s="28">
        <f t="shared" si="62"/>
        <v>26489.362499999999</v>
      </c>
      <c r="BW77" s="28">
        <f t="shared" si="59"/>
        <v>26489.362499999999</v>
      </c>
      <c r="BX77" s="128">
        <f>BW77/'RPI_1880-2010'!B76*100</f>
        <v>565649.42344650859</v>
      </c>
      <c r="BY77" s="35" t="s">
        <v>115</v>
      </c>
    </row>
    <row r="78" spans="1:77" x14ac:dyDescent="0.25">
      <c r="A78" s="29">
        <v>1955</v>
      </c>
      <c r="B78">
        <v>7696</v>
      </c>
      <c r="C78">
        <v>9</v>
      </c>
      <c r="D78">
        <v>5</v>
      </c>
      <c r="E78" s="28">
        <f t="shared" si="51"/>
        <v>1847153</v>
      </c>
      <c r="F78">
        <v>990</v>
      </c>
      <c r="G78">
        <v>13</v>
      </c>
      <c r="H78">
        <v>2</v>
      </c>
      <c r="I78" s="28">
        <f t="shared" si="44"/>
        <v>237758</v>
      </c>
      <c r="J78">
        <v>880</v>
      </c>
      <c r="K78">
        <v>7</v>
      </c>
      <c r="L78">
        <v>9</v>
      </c>
      <c r="M78" s="24">
        <f t="shared" si="52"/>
        <v>211293</v>
      </c>
      <c r="Q78" s="67"/>
      <c r="R78" s="67">
        <v>9567</v>
      </c>
      <c r="S78" s="67">
        <v>10</v>
      </c>
      <c r="T78" s="67">
        <v>4</v>
      </c>
      <c r="U78" s="48">
        <f t="shared" si="63"/>
        <v>9567.5166666666664</v>
      </c>
      <c r="V78" s="24">
        <f>(I78+E78+M78+Q78)/240</f>
        <v>9567.5166666666664</v>
      </c>
      <c r="W78" s="28">
        <v>16169</v>
      </c>
      <c r="X78">
        <v>6</v>
      </c>
      <c r="Y78">
        <v>2</v>
      </c>
      <c r="Z78" s="28">
        <f t="shared" si="53"/>
        <v>3880634</v>
      </c>
      <c r="AA78">
        <v>2820</v>
      </c>
      <c r="AB78">
        <v>8</v>
      </c>
      <c r="AC78">
        <v>9</v>
      </c>
      <c r="AD78" s="28">
        <f t="shared" si="54"/>
        <v>676905</v>
      </c>
      <c r="AE78">
        <v>2192</v>
      </c>
      <c r="AF78">
        <v>2</v>
      </c>
      <c r="AG78">
        <v>8</v>
      </c>
      <c r="AH78" s="28">
        <f t="shared" si="55"/>
        <v>526112</v>
      </c>
      <c r="AM78">
        <v>21181</v>
      </c>
      <c r="AN78">
        <v>17</v>
      </c>
      <c r="AO78">
        <v>7</v>
      </c>
      <c r="AP78" s="24">
        <f t="shared" si="47"/>
        <v>21181.879166666666</v>
      </c>
      <c r="AQ78" s="36">
        <f>(Z78+AD78+AH78+AL78)/240</f>
        <v>21181.879166666666</v>
      </c>
      <c r="AR78">
        <f>394+771+10+701</f>
        <v>1876</v>
      </c>
      <c r="AS78">
        <f>16+9+16+9</f>
        <v>50</v>
      </c>
      <c r="AT78">
        <f>1+4+0+2</f>
        <v>7</v>
      </c>
      <c r="AU78" s="24">
        <f t="shared" si="49"/>
        <v>1878.5291666666667</v>
      </c>
      <c r="AV78" s="116">
        <f t="shared" ref="AV78:AV89" si="65">AU78+AP78+U78</f>
        <v>32627.924999999999</v>
      </c>
      <c r="AZ78" s="9"/>
      <c r="BE78">
        <v>1918</v>
      </c>
      <c r="BF78">
        <v>15</v>
      </c>
      <c r="BG78">
        <v>5</v>
      </c>
      <c r="BH78" s="28">
        <f>((240*BE78)+(12*BF78)+BG78)/240</f>
        <v>1918.7708333333333</v>
      </c>
      <c r="BI78" s="102">
        <f t="shared" si="61"/>
        <v>34546.695833333331</v>
      </c>
      <c r="BJ78">
        <f>584+95+39+1433</f>
        <v>2151</v>
      </c>
      <c r="BK78">
        <f>6+15+13+8</f>
        <v>42</v>
      </c>
      <c r="BL78">
        <f>4+7+1+8</f>
        <v>20</v>
      </c>
      <c r="BM78" s="36">
        <f t="shared" si="43"/>
        <v>2153.1833333333334</v>
      </c>
      <c r="BN78" s="36"/>
      <c r="BO78" s="36">
        <f>((6939*240)+(2*12)+9)/240</f>
        <v>6939.1374999999998</v>
      </c>
      <c r="BP78" s="36"/>
      <c r="BQ78" s="36"/>
      <c r="BR78" s="36">
        <f t="shared" si="42"/>
        <v>9092.3208333333332</v>
      </c>
      <c r="BS78">
        <f>67534-1807-2000-20087</f>
        <v>43640</v>
      </c>
      <c r="BT78">
        <f>3-4-0-18</f>
        <v>-19</v>
      </c>
      <c r="BU78">
        <f>7-8-0-7</f>
        <v>-8</v>
      </c>
      <c r="BV78" s="28">
        <f t="shared" si="62"/>
        <v>43639.01666666667</v>
      </c>
      <c r="BW78" s="28">
        <f t="shared" ref="BW78:BW82" si="66">BI78+BR78</f>
        <v>43639.016666666663</v>
      </c>
      <c r="BX78" s="128">
        <f>BW78/'RPI_1880-2010'!B77*100</f>
        <v>892961.25775867945</v>
      </c>
      <c r="BY78" s="35" t="s">
        <v>159</v>
      </c>
    </row>
    <row r="79" spans="1:77" x14ac:dyDescent="0.25">
      <c r="A79" s="29">
        <v>1956</v>
      </c>
      <c r="B79">
        <v>4270</v>
      </c>
      <c r="C79">
        <v>2</v>
      </c>
      <c r="D79">
        <v>7</v>
      </c>
      <c r="E79" s="28">
        <f t="shared" si="51"/>
        <v>1024831</v>
      </c>
      <c r="F79">
        <v>948</v>
      </c>
      <c r="G79">
        <v>5</v>
      </c>
      <c r="H79">
        <v>3</v>
      </c>
      <c r="I79" s="28">
        <f t="shared" si="44"/>
        <v>227583</v>
      </c>
      <c r="J79">
        <v>731</v>
      </c>
      <c r="K79">
        <v>6</v>
      </c>
      <c r="L79">
        <v>3</v>
      </c>
      <c r="M79" s="24">
        <f t="shared" si="52"/>
        <v>175515</v>
      </c>
      <c r="Q79" s="67"/>
      <c r="R79" s="67">
        <v>5949</v>
      </c>
      <c r="S79" s="67">
        <v>14</v>
      </c>
      <c r="T79" s="67">
        <v>1</v>
      </c>
      <c r="U79" s="48">
        <f t="shared" si="63"/>
        <v>5949.7041666666664</v>
      </c>
      <c r="V79" s="24">
        <f>(I79+E79+M79+Q79)/240</f>
        <v>5949.7041666666664</v>
      </c>
      <c r="W79" s="28">
        <v>12433</v>
      </c>
      <c r="X79">
        <v>4</v>
      </c>
      <c r="Y79">
        <v>9</v>
      </c>
      <c r="Z79" s="28">
        <f t="shared" si="53"/>
        <v>2983977</v>
      </c>
      <c r="AA79">
        <v>3975</v>
      </c>
      <c r="AB79">
        <v>10</v>
      </c>
      <c r="AC79">
        <v>2</v>
      </c>
      <c r="AD79" s="28">
        <f t="shared" si="54"/>
        <v>954122</v>
      </c>
      <c r="AE79">
        <v>2191</v>
      </c>
      <c r="AF79">
        <v>15</v>
      </c>
      <c r="AG79">
        <v>5</v>
      </c>
      <c r="AH79" s="28">
        <f t="shared" si="55"/>
        <v>526025</v>
      </c>
      <c r="AM79">
        <v>18600</v>
      </c>
      <c r="AN79">
        <v>10</v>
      </c>
      <c r="AO79">
        <v>4</v>
      </c>
      <c r="AP79" s="24">
        <f t="shared" si="47"/>
        <v>18600.516666666666</v>
      </c>
      <c r="AQ79" s="36">
        <f t="shared" ref="AQ79:AQ86" si="67">(Z79+AD79+AH79+AL79)/240</f>
        <v>18600.516666666666</v>
      </c>
      <c r="AR79">
        <f>1185+110+10+829</f>
        <v>2134</v>
      </c>
      <c r="AS79">
        <f>8+6+16+18</f>
        <v>48</v>
      </c>
      <c r="AT79">
        <f>2+9+0+7</f>
        <v>18</v>
      </c>
      <c r="AU79" s="24">
        <f t="shared" si="49"/>
        <v>2136.4749999999999</v>
      </c>
      <c r="AV79" s="116">
        <f t="shared" si="65"/>
        <v>26686.695833333331</v>
      </c>
      <c r="AZ79" s="9"/>
      <c r="BE79">
        <v>1916</v>
      </c>
      <c r="BF79">
        <v>9</v>
      </c>
      <c r="BG79">
        <v>10</v>
      </c>
      <c r="BH79" s="28">
        <f>((240*BE79)+(12*BF79)+BG79)/240</f>
        <v>1916.4916666666666</v>
      </c>
      <c r="BI79" s="102">
        <f t="shared" si="61"/>
        <v>28603.187499999996</v>
      </c>
      <c r="BJ79">
        <v>523</v>
      </c>
      <c r="BK79">
        <v>9</v>
      </c>
      <c r="BL79">
        <v>4</v>
      </c>
      <c r="BM79" s="36">
        <f t="shared" si="43"/>
        <v>523.4666666666667</v>
      </c>
      <c r="BN79" s="36"/>
      <c r="BO79" s="36"/>
      <c r="BP79" s="36"/>
      <c r="BQ79" s="36"/>
      <c r="BR79" s="36">
        <f t="shared" si="42"/>
        <v>523.4666666666667</v>
      </c>
      <c r="BV79" s="28">
        <f t="shared" si="62"/>
        <v>0</v>
      </c>
      <c r="BW79" s="28">
        <f t="shared" si="66"/>
        <v>29126.654166666664</v>
      </c>
      <c r="BX79" s="128">
        <f>BW79/'RPI_1880-2010'!B78*100</f>
        <v>566997.35578482901</v>
      </c>
      <c r="BY79" s="35" t="s">
        <v>144</v>
      </c>
    </row>
    <row r="80" spans="1:77" x14ac:dyDescent="0.25">
      <c r="A80" s="29">
        <v>1957</v>
      </c>
      <c r="B80">
        <v>6473</v>
      </c>
      <c r="C80">
        <v>12</v>
      </c>
      <c r="D80">
        <v>9</v>
      </c>
      <c r="E80" s="28">
        <f t="shared" si="51"/>
        <v>1553673</v>
      </c>
      <c r="F80">
        <v>1084</v>
      </c>
      <c r="G80">
        <v>11</v>
      </c>
      <c r="H80">
        <v>7</v>
      </c>
      <c r="I80" s="28">
        <f t="shared" si="44"/>
        <v>260299</v>
      </c>
      <c r="J80">
        <v>1124</v>
      </c>
      <c r="K80">
        <v>7</v>
      </c>
      <c r="L80">
        <v>10</v>
      </c>
      <c r="M80" s="24">
        <f t="shared" si="52"/>
        <v>269854</v>
      </c>
      <c r="R80" s="28">
        <v>8682</v>
      </c>
      <c r="S80" s="67">
        <v>12</v>
      </c>
      <c r="T80" s="67">
        <v>2</v>
      </c>
      <c r="U80" s="48">
        <f t="shared" si="63"/>
        <v>8682.6083333333336</v>
      </c>
      <c r="V80" s="24">
        <f>(I80+E80+M80+Q80)/240</f>
        <v>8682.6083333333336</v>
      </c>
      <c r="W80" s="28">
        <v>14559</v>
      </c>
      <c r="X80">
        <v>5</v>
      </c>
      <c r="Y80">
        <v>9</v>
      </c>
      <c r="Z80" s="28">
        <f t="shared" si="53"/>
        <v>3494229</v>
      </c>
      <c r="AA80">
        <v>4147</v>
      </c>
      <c r="AB80">
        <v>17</v>
      </c>
      <c r="AC80">
        <v>10</v>
      </c>
      <c r="AD80" s="28">
        <f t="shared" si="54"/>
        <v>995494</v>
      </c>
      <c r="AE80">
        <v>2704</v>
      </c>
      <c r="AF80">
        <v>8</v>
      </c>
      <c r="AG80">
        <v>6</v>
      </c>
      <c r="AH80" s="28">
        <f t="shared" si="55"/>
        <v>649062</v>
      </c>
      <c r="AM80">
        <v>21411</v>
      </c>
      <c r="AN80">
        <v>12</v>
      </c>
      <c r="AO80">
        <v>1</v>
      </c>
      <c r="AP80" s="24">
        <f t="shared" si="47"/>
        <v>21411.604166666668</v>
      </c>
      <c r="AQ80" s="36">
        <f t="shared" si="67"/>
        <v>21411.604166666668</v>
      </c>
      <c r="AR80">
        <f>1488+786+399+10+928</f>
        <v>3611</v>
      </c>
      <c r="AS80">
        <f>16+1+14+16+0</f>
        <v>47</v>
      </c>
      <c r="AT80">
        <f>4+8+10+0+8</f>
        <v>30</v>
      </c>
      <c r="AU80" s="24">
        <f t="shared" si="49"/>
        <v>3613.4749999999999</v>
      </c>
      <c r="AV80" s="116">
        <f t="shared" si="65"/>
        <v>33707.6875</v>
      </c>
      <c r="AZ80" s="9"/>
      <c r="BE80">
        <v>2202</v>
      </c>
      <c r="BF80">
        <v>11</v>
      </c>
      <c r="BG80">
        <v>6</v>
      </c>
      <c r="BH80" s="28">
        <f>((240*BE80)+(12*BF80)+BG80)/240</f>
        <v>2202.5749999999998</v>
      </c>
      <c r="BI80" s="102">
        <f t="shared" si="61"/>
        <v>35910.262499999997</v>
      </c>
      <c r="BJ80">
        <v>722</v>
      </c>
      <c r="BK80">
        <v>2</v>
      </c>
      <c r="BL80">
        <v>0</v>
      </c>
      <c r="BM80" s="36">
        <f t="shared" si="43"/>
        <v>722.1</v>
      </c>
      <c r="BN80" s="36"/>
      <c r="BO80" s="36"/>
      <c r="BP80" s="36"/>
      <c r="BQ80" s="36"/>
      <c r="BR80" s="36">
        <f t="shared" si="42"/>
        <v>722.1</v>
      </c>
      <c r="BV80" s="28">
        <f t="shared" si="62"/>
        <v>0</v>
      </c>
      <c r="BW80" s="28">
        <f t="shared" si="66"/>
        <v>36632.362499999996</v>
      </c>
      <c r="BX80" s="128">
        <f>BW80/'RPI_1880-2010'!B79*100</f>
        <v>688837.20383602858</v>
      </c>
      <c r="BY80" s="35" t="s">
        <v>140</v>
      </c>
    </row>
    <row r="81" spans="1:78" x14ac:dyDescent="0.25">
      <c r="A81" s="29">
        <v>1958</v>
      </c>
      <c r="B81">
        <v>4124</v>
      </c>
      <c r="C81">
        <v>1</v>
      </c>
      <c r="D81">
        <v>8</v>
      </c>
      <c r="E81" s="28">
        <f t="shared" ref="E81:E88" si="68">(240*B81)+(12*C81)+D81</f>
        <v>989780</v>
      </c>
      <c r="F81">
        <v>816</v>
      </c>
      <c r="G81">
        <v>15</v>
      </c>
      <c r="H81">
        <v>7</v>
      </c>
      <c r="I81" s="28">
        <f t="shared" ref="I81:I82" si="69">(240*F81)+(12*G81)+H81</f>
        <v>196027</v>
      </c>
      <c r="J81">
        <v>932</v>
      </c>
      <c r="K81">
        <v>5</v>
      </c>
      <c r="L81">
        <v>4</v>
      </c>
      <c r="M81" s="28">
        <f>(240*J81)+(12*K81)+L81</f>
        <v>223744</v>
      </c>
      <c r="R81" s="28">
        <v>5873</v>
      </c>
      <c r="S81">
        <v>2</v>
      </c>
      <c r="T81">
        <v>7</v>
      </c>
      <c r="U81" s="48">
        <f t="shared" ref="U81:U86" si="70">((240*R81)+(12*S81)+T81)/240</f>
        <v>5873.1291666666666</v>
      </c>
      <c r="V81" s="18">
        <f t="shared" ref="V81:V89" si="71">(I81+E81+M81+Q81)/240</f>
        <v>5873.1291666666666</v>
      </c>
      <c r="W81" s="28">
        <v>18502</v>
      </c>
      <c r="X81" s="28">
        <v>4</v>
      </c>
      <c r="Y81" s="28">
        <v>8</v>
      </c>
      <c r="Z81" s="28">
        <f>(240*W81)+(12*X81)+Y81</f>
        <v>4440536</v>
      </c>
      <c r="AA81" s="28">
        <v>4988</v>
      </c>
      <c r="AB81" s="28">
        <v>8</v>
      </c>
      <c r="AC81" s="28">
        <v>8</v>
      </c>
      <c r="AD81" s="28">
        <f>(240*AA81)+(12*AB81)+AC81</f>
        <v>1197224</v>
      </c>
      <c r="AE81" s="28">
        <v>3105</v>
      </c>
      <c r="AF81" s="28">
        <v>3</v>
      </c>
      <c r="AG81" s="28">
        <v>4</v>
      </c>
      <c r="AH81" s="28">
        <f>(240*AE81)+(12*AF81)+AG81</f>
        <v>745240</v>
      </c>
      <c r="AM81">
        <v>26595</v>
      </c>
      <c r="AN81">
        <v>16</v>
      </c>
      <c r="AO81">
        <v>8</v>
      </c>
      <c r="AP81" s="24">
        <f t="shared" ref="AP81:AP91" si="72">((240*AM81)+(12*AN81)+AO81)/240</f>
        <v>26595.833333333332</v>
      </c>
      <c r="AQ81" s="36">
        <f t="shared" si="67"/>
        <v>26595.833333333332</v>
      </c>
      <c r="AR81">
        <f>2105+1224+684+36+1089</f>
        <v>5138</v>
      </c>
      <c r="AS81">
        <f>10+15+0+7+8</f>
        <v>40</v>
      </c>
      <c r="AT81">
        <f>11+7+4+11+1</f>
        <v>34</v>
      </c>
      <c r="AU81" s="28">
        <f>((240*AR81)+(12*AS81)+AT81)/240</f>
        <v>5140.1416666666664</v>
      </c>
      <c r="AV81" s="116">
        <f t="shared" si="65"/>
        <v>37609.104166666664</v>
      </c>
      <c r="BE81">
        <v>3821</v>
      </c>
      <c r="BF81">
        <v>9</v>
      </c>
      <c r="BG81">
        <v>1</v>
      </c>
      <c r="BH81" s="28">
        <f>((240*BE81)+(12*BF81)+BG81)/240</f>
        <v>3821.4541666666669</v>
      </c>
      <c r="BI81" s="102">
        <f t="shared" si="61"/>
        <v>41430.558333333334</v>
      </c>
      <c r="BJ81">
        <v>1133</v>
      </c>
      <c r="BK81">
        <v>1</v>
      </c>
      <c r="BL81">
        <v>7</v>
      </c>
      <c r="BM81" s="28">
        <f t="shared" si="43"/>
        <v>1133.0791666666667</v>
      </c>
      <c r="BN81" s="28"/>
      <c r="BO81" s="28"/>
      <c r="BP81" s="28"/>
      <c r="BQ81" s="28"/>
      <c r="BR81" s="36">
        <f t="shared" si="42"/>
        <v>1133.0791666666667</v>
      </c>
      <c r="BW81" s="28">
        <f t="shared" si="66"/>
        <v>42563.637500000004</v>
      </c>
      <c r="BX81" s="128">
        <f>BW81/'RPI_1880-2010'!B80*100</f>
        <v>775576.48505830904</v>
      </c>
      <c r="BY81" s="35" t="s">
        <v>107</v>
      </c>
    </row>
    <row r="82" spans="1:78" x14ac:dyDescent="0.25">
      <c r="A82" s="29">
        <v>1959</v>
      </c>
      <c r="B82">
        <v>4993</v>
      </c>
      <c r="C82">
        <v>2</v>
      </c>
      <c r="D82">
        <v>1</v>
      </c>
      <c r="E82" s="28">
        <f t="shared" si="68"/>
        <v>1198345</v>
      </c>
      <c r="F82">
        <v>934</v>
      </c>
      <c r="G82">
        <v>7</v>
      </c>
      <c r="H82">
        <v>0</v>
      </c>
      <c r="I82" s="28">
        <f t="shared" si="69"/>
        <v>224244</v>
      </c>
      <c r="J82">
        <v>835</v>
      </c>
      <c r="K82">
        <v>1</v>
      </c>
      <c r="L82">
        <v>11</v>
      </c>
      <c r="M82" s="28">
        <f>(240*J82)+(12*K82)+L82</f>
        <v>200423</v>
      </c>
      <c r="R82" s="28">
        <v>6762</v>
      </c>
      <c r="S82">
        <v>11</v>
      </c>
      <c r="T82">
        <v>0</v>
      </c>
      <c r="U82" s="48">
        <f t="shared" si="70"/>
        <v>6762.55</v>
      </c>
      <c r="V82" s="18">
        <f t="shared" si="71"/>
        <v>6762.55</v>
      </c>
      <c r="W82" s="28">
        <v>18053</v>
      </c>
      <c r="X82" s="28">
        <v>11</v>
      </c>
      <c r="Y82" s="28">
        <v>6</v>
      </c>
      <c r="Z82" s="28">
        <f>(240*W82)+(12*X82)+Y82</f>
        <v>4332858</v>
      </c>
      <c r="AA82" s="28">
        <v>4043</v>
      </c>
      <c r="AB82" s="28">
        <v>14</v>
      </c>
      <c r="AC82" s="28">
        <v>0</v>
      </c>
      <c r="AD82" s="28">
        <f>(240*AA82)+(12*AB82)+AC82</f>
        <v>970488</v>
      </c>
      <c r="AE82" s="28">
        <v>3186</v>
      </c>
      <c r="AF82" s="28">
        <v>16</v>
      </c>
      <c r="AG82" s="28">
        <v>1</v>
      </c>
      <c r="AH82" s="28">
        <f>(240*AE82)+(12*AF82)+AG82</f>
        <v>764833</v>
      </c>
      <c r="AM82">
        <v>25284</v>
      </c>
      <c r="AN82">
        <v>1</v>
      </c>
      <c r="AO82">
        <v>7</v>
      </c>
      <c r="AP82" s="24">
        <f t="shared" si="72"/>
        <v>25284.079166666666</v>
      </c>
      <c r="AQ82" s="36">
        <f t="shared" si="67"/>
        <v>25284.079166666666</v>
      </c>
      <c r="AR82">
        <f>1860+1175+499+10+696</f>
        <v>4240</v>
      </c>
      <c r="AS82">
        <f>7+18+3+2+3</f>
        <v>33</v>
      </c>
      <c r="AT82">
        <f>1+6+2+6+1</f>
        <v>16</v>
      </c>
      <c r="AU82" s="28">
        <f>((240*AR82)+(12*AS82)+AT82)/240</f>
        <v>4241.7166666666662</v>
      </c>
      <c r="AV82" s="116">
        <f t="shared" si="65"/>
        <v>36288.345833333333</v>
      </c>
      <c r="BE82">
        <v>3485</v>
      </c>
      <c r="BF82">
        <v>13</v>
      </c>
      <c r="BG82">
        <v>4</v>
      </c>
      <c r="BH82" s="28">
        <f>((240*BE82)+(12*BF82)+BG82)/240</f>
        <v>3485.6666666666665</v>
      </c>
      <c r="BI82" s="102">
        <f t="shared" si="61"/>
        <v>39774.012499999997</v>
      </c>
      <c r="BJ82">
        <v>1036</v>
      </c>
      <c r="BK82">
        <v>15</v>
      </c>
      <c r="BL82">
        <v>4</v>
      </c>
      <c r="BM82" s="28">
        <f t="shared" si="43"/>
        <v>1036.7666666666667</v>
      </c>
      <c r="BN82" s="28"/>
      <c r="BO82" s="28"/>
      <c r="BP82" s="28"/>
      <c r="BQ82" s="28"/>
      <c r="BR82" s="36">
        <f t="shared" si="42"/>
        <v>1036.7666666666667</v>
      </c>
      <c r="BW82" s="28">
        <f t="shared" si="66"/>
        <v>40810.779166666667</v>
      </c>
      <c r="BX82" s="128">
        <f>BW82/'RPI_1880-2010'!B81*100</f>
        <v>740533.10046573519</v>
      </c>
      <c r="BY82" s="19" t="s">
        <v>20</v>
      </c>
      <c r="BZ82" t="s">
        <v>21</v>
      </c>
    </row>
    <row r="83" spans="1:78" x14ac:dyDescent="0.25">
      <c r="A83" s="29">
        <v>1960</v>
      </c>
      <c r="B83">
        <v>5504</v>
      </c>
      <c r="C83">
        <v>9</v>
      </c>
      <c r="D83">
        <v>8</v>
      </c>
      <c r="E83" s="28">
        <f t="shared" si="68"/>
        <v>1321076</v>
      </c>
      <c r="F83">
        <v>1026</v>
      </c>
      <c r="G83">
        <v>12</v>
      </c>
      <c r="H83">
        <v>10</v>
      </c>
      <c r="I83" s="28">
        <f t="shared" ref="I83:I88" si="73">(240*F83)+(12*G83)+H83</f>
        <v>246394</v>
      </c>
      <c r="J83">
        <v>952</v>
      </c>
      <c r="K83">
        <v>18</v>
      </c>
      <c r="L83">
        <v>7</v>
      </c>
      <c r="M83" s="28">
        <f t="shared" ref="M83:M88" si="74">(240*J83)+(12*K83)+L83</f>
        <v>228703</v>
      </c>
      <c r="R83" s="28">
        <v>7484</v>
      </c>
      <c r="S83">
        <v>1</v>
      </c>
      <c r="T83">
        <v>1</v>
      </c>
      <c r="U83" s="48">
        <f t="shared" si="70"/>
        <v>7484.0541666666668</v>
      </c>
      <c r="V83" s="18">
        <f t="shared" si="71"/>
        <v>7484.0541666666668</v>
      </c>
      <c r="W83" s="28">
        <v>21461</v>
      </c>
      <c r="X83" s="28">
        <v>15</v>
      </c>
      <c r="Y83" s="28">
        <v>9</v>
      </c>
      <c r="Z83" s="28">
        <f t="shared" ref="Z83:Z88" si="75">(240*W83)+(12*X83)+Y83</f>
        <v>5150829</v>
      </c>
      <c r="AA83" s="28">
        <v>4561</v>
      </c>
      <c r="AB83" s="28">
        <v>11</v>
      </c>
      <c r="AC83" s="28">
        <v>7</v>
      </c>
      <c r="AD83" s="28">
        <f t="shared" ref="AD83:AD88" si="76">(240*AA83)+(12*AB83)+AC83</f>
        <v>1094779</v>
      </c>
      <c r="AE83" s="28">
        <v>4053</v>
      </c>
      <c r="AF83" s="28">
        <v>0</v>
      </c>
      <c r="AG83" s="28">
        <v>5</v>
      </c>
      <c r="AH83" s="28">
        <f t="shared" ref="AH83:AH88" si="77">(240*AE83)+(12*AF83)+AG83</f>
        <v>972725</v>
      </c>
      <c r="AM83">
        <v>30076</v>
      </c>
      <c r="AN83">
        <v>7</v>
      </c>
      <c r="AO83">
        <v>9</v>
      </c>
      <c r="AP83" s="24">
        <f t="shared" si="72"/>
        <v>30076.387500000001</v>
      </c>
      <c r="AQ83" s="36">
        <f t="shared" si="67"/>
        <v>30076.387500000001</v>
      </c>
      <c r="AR83">
        <f>1491+1784+10251+3436+10+797</f>
        <v>17769</v>
      </c>
      <c r="AS83">
        <f>1+19+5+0+2+19</f>
        <v>46</v>
      </c>
      <c r="AT83">
        <f>9+5+8+3+6+11</f>
        <v>42</v>
      </c>
      <c r="AU83" s="28">
        <f t="shared" ref="AU83:AU91" si="78">((240*AR83)+(12*AS83)+AT83)/240</f>
        <v>17771.474999999999</v>
      </c>
      <c r="AV83" s="116">
        <f t="shared" si="65"/>
        <v>55331.916666666672</v>
      </c>
      <c r="BE83">
        <v>4861</v>
      </c>
      <c r="BF83">
        <v>8</v>
      </c>
      <c r="BG83">
        <v>3</v>
      </c>
      <c r="BH83" s="28">
        <f t="shared" ref="BH83:BH91" si="79">((240*BE83)+(12*BF83)+BG83)/240</f>
        <v>4861.4125000000004</v>
      </c>
      <c r="BI83" s="102">
        <f t="shared" si="61"/>
        <v>60193.32916666667</v>
      </c>
      <c r="BJ83">
        <v>1306</v>
      </c>
      <c r="BK83">
        <v>12</v>
      </c>
      <c r="BL83">
        <v>0</v>
      </c>
      <c r="BM83" s="28">
        <f t="shared" si="43"/>
        <v>1306.5999999999999</v>
      </c>
      <c r="BN83" s="28"/>
      <c r="BO83" s="28"/>
      <c r="BP83" s="28"/>
      <c r="BQ83" s="28"/>
      <c r="BR83" s="36">
        <f t="shared" si="42"/>
        <v>1306.5999999999999</v>
      </c>
      <c r="BW83" s="28">
        <f t="shared" ref="BW83:BW86" si="80">BI83+BR83</f>
        <v>61499.929166666669</v>
      </c>
      <c r="BX83" s="128">
        <f>BW83/'RPI_1880-2010'!B82*100</f>
        <v>1104524.5899185825</v>
      </c>
      <c r="BY83" s="35" t="s">
        <v>23</v>
      </c>
    </row>
    <row r="84" spans="1:78" x14ac:dyDescent="0.25">
      <c r="A84" s="29">
        <v>1961</v>
      </c>
      <c r="B84">
        <v>5579</v>
      </c>
      <c r="C84">
        <v>10</v>
      </c>
      <c r="D84">
        <v>5</v>
      </c>
      <c r="E84" s="28">
        <f t="shared" si="68"/>
        <v>1339085</v>
      </c>
      <c r="F84">
        <v>915</v>
      </c>
      <c r="G84">
        <v>8</v>
      </c>
      <c r="H84">
        <v>5</v>
      </c>
      <c r="I84" s="28">
        <f t="shared" si="73"/>
        <v>219701</v>
      </c>
      <c r="J84">
        <v>1195</v>
      </c>
      <c r="K84">
        <v>15</v>
      </c>
      <c r="L84">
        <v>9</v>
      </c>
      <c r="M84" s="28">
        <f t="shared" si="74"/>
        <v>286989</v>
      </c>
      <c r="R84" s="28">
        <v>7690</v>
      </c>
      <c r="S84">
        <v>14</v>
      </c>
      <c r="T84">
        <v>7</v>
      </c>
      <c r="U84" s="48">
        <f t="shared" si="70"/>
        <v>7690.729166666667</v>
      </c>
      <c r="V84" s="18">
        <f t="shared" si="71"/>
        <v>7690.729166666667</v>
      </c>
      <c r="W84" s="28">
        <v>18101</v>
      </c>
      <c r="X84" s="28">
        <v>5</v>
      </c>
      <c r="Y84" s="28">
        <v>10</v>
      </c>
      <c r="Z84" s="28">
        <f t="shared" si="75"/>
        <v>4344310</v>
      </c>
      <c r="AA84" s="28">
        <v>5854</v>
      </c>
      <c r="AB84" s="28">
        <v>15</v>
      </c>
      <c r="AC84" s="28">
        <v>8</v>
      </c>
      <c r="AD84" s="28">
        <f t="shared" si="76"/>
        <v>1405148</v>
      </c>
      <c r="AE84" s="28">
        <v>3452</v>
      </c>
      <c r="AF84" s="28">
        <v>12</v>
      </c>
      <c r="AG84" s="28">
        <v>9</v>
      </c>
      <c r="AH84" s="28">
        <f t="shared" si="77"/>
        <v>828633</v>
      </c>
      <c r="AM84">
        <v>27408</v>
      </c>
      <c r="AN84">
        <v>14</v>
      </c>
      <c r="AO84">
        <v>3</v>
      </c>
      <c r="AP84" s="24">
        <f t="shared" si="72"/>
        <v>27408.712500000001</v>
      </c>
      <c r="AQ84" s="36">
        <f t="shared" si="67"/>
        <v>27408.712500000001</v>
      </c>
      <c r="AR84">
        <f>1939+82+4167+891+70+775</f>
        <v>7924</v>
      </c>
      <c r="AS84">
        <f>3+8+3+0+19+17</f>
        <v>50</v>
      </c>
      <c r="AT84">
        <f>0+6+11+4+2+1</f>
        <v>24</v>
      </c>
      <c r="AU84" s="28">
        <f t="shared" si="78"/>
        <v>7926.6</v>
      </c>
      <c r="AV84" s="116">
        <f t="shared" si="65"/>
        <v>43026.041666666664</v>
      </c>
      <c r="BE84">
        <v>4445</v>
      </c>
      <c r="BF84">
        <v>12</v>
      </c>
      <c r="BG84">
        <v>2</v>
      </c>
      <c r="BH84" s="28">
        <f t="shared" si="79"/>
        <v>4445.6083333333336</v>
      </c>
      <c r="BI84" s="102">
        <f t="shared" si="61"/>
        <v>47471.649999999994</v>
      </c>
      <c r="BJ84">
        <v>1245</v>
      </c>
      <c r="BK84">
        <v>19</v>
      </c>
      <c r="BL84">
        <v>2</v>
      </c>
      <c r="BM84" s="28">
        <f t="shared" si="43"/>
        <v>1245.9583333333333</v>
      </c>
      <c r="BN84" s="28"/>
      <c r="BO84" s="28"/>
      <c r="BP84" s="28"/>
      <c r="BQ84" s="28"/>
      <c r="BR84" s="36">
        <f t="shared" si="42"/>
        <v>1245.9583333333333</v>
      </c>
      <c r="BW84" s="28">
        <f t="shared" si="80"/>
        <v>48717.60833333333</v>
      </c>
      <c r="BX84" s="128">
        <f>BW84/'RPI_1880-2010'!B83*100</f>
        <v>845791.81134259247</v>
      </c>
      <c r="BY84" s="35" t="s">
        <v>26</v>
      </c>
    </row>
    <row r="85" spans="1:78" x14ac:dyDescent="0.25">
      <c r="A85" s="29">
        <v>1962</v>
      </c>
      <c r="B85">
        <v>6531</v>
      </c>
      <c r="C85">
        <v>19</v>
      </c>
      <c r="D85">
        <v>1</v>
      </c>
      <c r="E85" s="28">
        <f t="shared" si="68"/>
        <v>1567669</v>
      </c>
      <c r="F85">
        <v>1253</v>
      </c>
      <c r="G85">
        <v>15</v>
      </c>
      <c r="H85">
        <v>2</v>
      </c>
      <c r="I85" s="28">
        <f t="shared" si="73"/>
        <v>300902</v>
      </c>
      <c r="J85">
        <v>1857</v>
      </c>
      <c r="K85">
        <v>14</v>
      </c>
      <c r="L85">
        <v>8</v>
      </c>
      <c r="M85" s="28">
        <f t="shared" si="74"/>
        <v>445856</v>
      </c>
      <c r="R85" s="28">
        <v>9643</v>
      </c>
      <c r="S85">
        <v>8</v>
      </c>
      <c r="T85">
        <v>11</v>
      </c>
      <c r="U85" s="48">
        <f t="shared" si="70"/>
        <v>9643.4458333333332</v>
      </c>
      <c r="V85" s="18">
        <f t="shared" si="71"/>
        <v>9643.4458333333332</v>
      </c>
      <c r="W85" s="28">
        <v>23439</v>
      </c>
      <c r="X85" s="28">
        <v>10</v>
      </c>
      <c r="Y85" s="28">
        <v>4</v>
      </c>
      <c r="Z85" s="28">
        <f t="shared" si="75"/>
        <v>5625484</v>
      </c>
      <c r="AA85" s="28">
        <v>5866</v>
      </c>
      <c r="AB85" s="28">
        <v>17</v>
      </c>
      <c r="AC85" s="28">
        <v>4</v>
      </c>
      <c r="AD85" s="28">
        <f t="shared" si="76"/>
        <v>1408048</v>
      </c>
      <c r="AE85" s="28">
        <v>5315</v>
      </c>
      <c r="AF85" s="28">
        <v>1</v>
      </c>
      <c r="AG85" s="28">
        <v>10</v>
      </c>
      <c r="AH85" s="28">
        <f t="shared" si="77"/>
        <v>1275622</v>
      </c>
      <c r="AM85">
        <v>34621</v>
      </c>
      <c r="AN85">
        <v>9</v>
      </c>
      <c r="AO85">
        <v>6</v>
      </c>
      <c r="AP85" s="24">
        <f t="shared" si="72"/>
        <v>34621.474999999999</v>
      </c>
      <c r="AQ85" s="36">
        <f t="shared" si="67"/>
        <v>34621.474999999999</v>
      </c>
      <c r="AR85">
        <f>1786+38+5464+1394+29+6+865</f>
        <v>9582</v>
      </c>
      <c r="AS85">
        <f>12+17+15+18+10+16+0</f>
        <v>88</v>
      </c>
      <c r="AT85">
        <f>6+6+8+0+0+11+11</f>
        <v>42</v>
      </c>
      <c r="AU85" s="28">
        <f t="shared" si="78"/>
        <v>9586.5750000000007</v>
      </c>
      <c r="AV85" s="116">
        <f t="shared" si="65"/>
        <v>53851.495833333334</v>
      </c>
      <c r="BE85">
        <v>4966</v>
      </c>
      <c r="BF85">
        <v>0</v>
      </c>
      <c r="BG85">
        <v>10</v>
      </c>
      <c r="BH85" s="28">
        <f t="shared" si="79"/>
        <v>4966.041666666667</v>
      </c>
      <c r="BI85" s="102">
        <f t="shared" si="61"/>
        <v>58817.537499999999</v>
      </c>
      <c r="BJ85">
        <v>1445</v>
      </c>
      <c r="BK85">
        <v>7</v>
      </c>
      <c r="BL85">
        <v>7</v>
      </c>
      <c r="BM85" s="28">
        <f t="shared" si="43"/>
        <v>1445.3791666666666</v>
      </c>
      <c r="BN85" s="28"/>
      <c r="BO85" s="28"/>
      <c r="BP85" s="28"/>
      <c r="BQ85" s="28"/>
      <c r="BR85" s="36">
        <f t="shared" si="42"/>
        <v>1445.3791666666666</v>
      </c>
      <c r="BW85" s="28">
        <f t="shared" si="80"/>
        <v>60262.916666666664</v>
      </c>
      <c r="BX85" s="128">
        <f>BW85/'RPI_1880-2010'!B84*100</f>
        <v>1002710.7598447034</v>
      </c>
      <c r="BY85" s="35" t="s">
        <v>116</v>
      </c>
    </row>
    <row r="86" spans="1:78" x14ac:dyDescent="0.25">
      <c r="A86" s="29">
        <v>1963</v>
      </c>
      <c r="B86">
        <v>7518</v>
      </c>
      <c r="C86">
        <v>5</v>
      </c>
      <c r="D86">
        <v>0</v>
      </c>
      <c r="E86" s="28">
        <f t="shared" si="68"/>
        <v>1804380</v>
      </c>
      <c r="F86">
        <v>1315</v>
      </c>
      <c r="G86">
        <v>7</v>
      </c>
      <c r="H86">
        <v>9</v>
      </c>
      <c r="I86" s="28">
        <f t="shared" si="73"/>
        <v>315693</v>
      </c>
      <c r="J86">
        <v>2031</v>
      </c>
      <c r="K86">
        <v>5</v>
      </c>
      <c r="L86">
        <v>5</v>
      </c>
      <c r="M86" s="28">
        <f t="shared" si="74"/>
        <v>487505</v>
      </c>
      <c r="R86" s="28">
        <v>10864</v>
      </c>
      <c r="S86">
        <v>18</v>
      </c>
      <c r="T86">
        <v>2</v>
      </c>
      <c r="U86" s="48">
        <f t="shared" si="70"/>
        <v>10864.908333333333</v>
      </c>
      <c r="V86" s="18">
        <f t="shared" si="71"/>
        <v>10864.908333333333</v>
      </c>
      <c r="W86" s="28">
        <v>23478</v>
      </c>
      <c r="X86" s="28">
        <v>12</v>
      </c>
      <c r="Y86" s="28">
        <v>2</v>
      </c>
      <c r="Z86" s="28">
        <f t="shared" si="75"/>
        <v>5634866</v>
      </c>
      <c r="AA86" s="28">
        <v>5544</v>
      </c>
      <c r="AB86" s="28">
        <v>13</v>
      </c>
      <c r="AC86" s="28">
        <v>5</v>
      </c>
      <c r="AD86" s="28">
        <f t="shared" si="76"/>
        <v>1330721</v>
      </c>
      <c r="AE86" s="28">
        <v>5120</v>
      </c>
      <c r="AF86" s="28">
        <v>12</v>
      </c>
      <c r="AG86" s="28">
        <v>1</v>
      </c>
      <c r="AH86" s="28">
        <f t="shared" si="77"/>
        <v>1228945</v>
      </c>
      <c r="AM86">
        <v>34143</v>
      </c>
      <c r="AN86">
        <v>17</v>
      </c>
      <c r="AO86">
        <v>8</v>
      </c>
      <c r="AP86" s="24">
        <f t="shared" si="72"/>
        <v>34143.883333333331</v>
      </c>
      <c r="AQ86" s="36">
        <f t="shared" si="67"/>
        <v>34143.883333333331</v>
      </c>
      <c r="AR86">
        <f>1235+1397+1206+7+874</f>
        <v>4719</v>
      </c>
      <c r="AS86">
        <f>12+1+5+6+0</f>
        <v>24</v>
      </c>
      <c r="AT86">
        <f>0+6+8+3+9</f>
        <v>26</v>
      </c>
      <c r="AU86" s="28">
        <f t="shared" si="78"/>
        <v>4720.3083333333334</v>
      </c>
      <c r="AV86" s="116">
        <f t="shared" si="65"/>
        <v>49729.1</v>
      </c>
      <c r="BE86">
        <v>5532</v>
      </c>
      <c r="BF86">
        <v>2</v>
      </c>
      <c r="BG86">
        <v>7</v>
      </c>
      <c r="BH86" s="28">
        <f t="shared" si="79"/>
        <v>5532.1291666666666</v>
      </c>
      <c r="BI86" s="102">
        <f t="shared" si="61"/>
        <v>55261.229166666664</v>
      </c>
      <c r="BJ86">
        <v>1467</v>
      </c>
      <c r="BK86">
        <v>6</v>
      </c>
      <c r="BL86">
        <v>2</v>
      </c>
      <c r="BM86" s="28">
        <f t="shared" si="43"/>
        <v>1467.3083333333334</v>
      </c>
      <c r="BN86" s="28"/>
      <c r="BO86" s="28"/>
      <c r="BP86" s="28"/>
      <c r="BQ86" s="28"/>
      <c r="BR86" s="36">
        <f t="shared" si="42"/>
        <v>1467.3083333333334</v>
      </c>
      <c r="BW86" s="28">
        <f t="shared" si="80"/>
        <v>56728.537499999999</v>
      </c>
      <c r="BX86" s="128">
        <f>BW86/'RPI_1880-2010'!B85*100</f>
        <v>926482.72905438498</v>
      </c>
      <c r="BY86" s="35" t="s">
        <v>117</v>
      </c>
    </row>
    <row r="87" spans="1:78" x14ac:dyDescent="0.25">
      <c r="A87" s="29">
        <v>1964</v>
      </c>
      <c r="E87" s="28">
        <f t="shared" si="68"/>
        <v>0</v>
      </c>
      <c r="I87" s="28">
        <f t="shared" si="73"/>
        <v>0</v>
      </c>
      <c r="M87" s="28">
        <f t="shared" si="74"/>
        <v>0</v>
      </c>
      <c r="U87" s="27"/>
      <c r="V87" s="18">
        <f t="shared" si="71"/>
        <v>0</v>
      </c>
      <c r="Z87" s="28">
        <f t="shared" si="75"/>
        <v>0</v>
      </c>
      <c r="AD87" s="28">
        <f t="shared" si="76"/>
        <v>0</v>
      </c>
      <c r="AH87" s="28">
        <f t="shared" si="77"/>
        <v>0</v>
      </c>
      <c r="AP87" s="24">
        <f t="shared" si="72"/>
        <v>0</v>
      </c>
      <c r="AQ87" s="24"/>
      <c r="AU87" s="28">
        <f t="shared" si="78"/>
        <v>0</v>
      </c>
      <c r="AV87" s="116">
        <f t="shared" si="65"/>
        <v>0</v>
      </c>
      <c r="BH87" s="28">
        <f t="shared" si="79"/>
        <v>0</v>
      </c>
      <c r="BI87" s="102">
        <f t="shared" si="61"/>
        <v>0</v>
      </c>
      <c r="BM87" s="28">
        <f t="shared" si="43"/>
        <v>0</v>
      </c>
      <c r="BN87" s="28"/>
      <c r="BO87" s="28"/>
      <c r="BP87" s="28"/>
      <c r="BQ87" s="28"/>
      <c r="BR87" s="36">
        <f t="shared" si="42"/>
        <v>0</v>
      </c>
      <c r="BV87" s="114">
        <v>68278</v>
      </c>
      <c r="BW87" s="114">
        <f>BV87</f>
        <v>68278</v>
      </c>
      <c r="BX87" s="128">
        <f>BW87/'RPI_1880-2010'!B86*100</f>
        <v>1079152.8370475739</v>
      </c>
      <c r="BY87" s="35" t="s">
        <v>145</v>
      </c>
    </row>
    <row r="88" spans="1:78" x14ac:dyDescent="0.25">
      <c r="A88" s="29">
        <v>1965</v>
      </c>
      <c r="E88" s="28">
        <f t="shared" si="68"/>
        <v>0</v>
      </c>
      <c r="I88" s="28">
        <f t="shared" si="73"/>
        <v>0</v>
      </c>
      <c r="M88" s="28">
        <f t="shared" si="74"/>
        <v>0</v>
      </c>
      <c r="U88" s="27"/>
      <c r="V88" s="18">
        <f t="shared" si="71"/>
        <v>0</v>
      </c>
      <c r="Z88" s="28">
        <f t="shared" si="75"/>
        <v>0</v>
      </c>
      <c r="AD88" s="28">
        <f t="shared" si="76"/>
        <v>0</v>
      </c>
      <c r="AH88" s="28">
        <f t="shared" si="77"/>
        <v>0</v>
      </c>
      <c r="AP88" s="24">
        <f t="shared" si="72"/>
        <v>0</v>
      </c>
      <c r="AQ88" s="24"/>
      <c r="AU88" s="28">
        <f t="shared" si="78"/>
        <v>0</v>
      </c>
      <c r="AV88" s="116">
        <f t="shared" si="65"/>
        <v>0</v>
      </c>
      <c r="BH88" s="28">
        <f t="shared" si="79"/>
        <v>0</v>
      </c>
      <c r="BI88" s="102">
        <f t="shared" si="61"/>
        <v>0</v>
      </c>
      <c r="BM88" s="28">
        <f t="shared" si="43"/>
        <v>0</v>
      </c>
      <c r="BN88" s="28"/>
      <c r="BO88" s="28"/>
      <c r="BP88" s="28"/>
      <c r="BQ88" s="28"/>
      <c r="BR88" s="36">
        <f t="shared" si="42"/>
        <v>0</v>
      </c>
      <c r="BV88" s="114">
        <v>78102</v>
      </c>
      <c r="BW88" s="114">
        <f>BV88</f>
        <v>78102</v>
      </c>
      <c r="BX88" s="128">
        <f>BW88/'RPI_1880-2010'!B87*100</f>
        <v>1179432.1957112656</v>
      </c>
      <c r="BY88" s="35" t="s">
        <v>147</v>
      </c>
    </row>
    <row r="89" spans="1:78" x14ac:dyDescent="0.25">
      <c r="A89" s="29">
        <v>1966</v>
      </c>
      <c r="B89">
        <v>3115</v>
      </c>
      <c r="C89">
        <v>12</v>
      </c>
      <c r="D89">
        <v>9</v>
      </c>
      <c r="E89" s="28">
        <f>(240*B89)+(12*C89)+D89</f>
        <v>747753</v>
      </c>
      <c r="F89">
        <v>21325</v>
      </c>
      <c r="G89">
        <v>17</v>
      </c>
      <c r="H89">
        <v>6</v>
      </c>
      <c r="I89" s="28">
        <f>(240*F89)+(12*G89)+H89</f>
        <v>5118210</v>
      </c>
      <c r="J89">
        <v>4101</v>
      </c>
      <c r="K89">
        <v>12</v>
      </c>
      <c r="L89">
        <v>8</v>
      </c>
      <c r="M89" s="28">
        <f>(240*J89)+(12*K89)+L89</f>
        <v>984392</v>
      </c>
      <c r="Q89" s="28">
        <f>(240*N89)+(12*O89)+P89</f>
        <v>0</v>
      </c>
      <c r="R89" s="28">
        <v>28543</v>
      </c>
      <c r="S89">
        <v>2</v>
      </c>
      <c r="T89">
        <v>11</v>
      </c>
      <c r="U89" s="28">
        <f>((240*R89)+(12*S89)+T89)/240</f>
        <v>28543.145833333332</v>
      </c>
      <c r="V89" s="18">
        <f t="shared" si="71"/>
        <v>28543.145833333332</v>
      </c>
      <c r="W89" s="28">
        <v>35663</v>
      </c>
      <c r="X89">
        <v>14</v>
      </c>
      <c r="Y89">
        <v>4</v>
      </c>
      <c r="Z89" s="28">
        <f>(240*W89)+(12*X89)+Y89</f>
        <v>8559292</v>
      </c>
      <c r="AA89">
        <v>8108</v>
      </c>
      <c r="AB89">
        <v>9</v>
      </c>
      <c r="AC89">
        <v>9</v>
      </c>
      <c r="AD89" s="28">
        <f>(240*AA89)+(12*AB89)+AC89</f>
        <v>1946037</v>
      </c>
      <c r="AE89">
        <v>5963</v>
      </c>
      <c r="AF89">
        <v>1</v>
      </c>
      <c r="AG89">
        <v>1</v>
      </c>
      <c r="AH89" s="28">
        <f>(240*AE89)+(12*AF89)+AG89</f>
        <v>1431133</v>
      </c>
      <c r="AL89" s="28">
        <f>(240*AI89)+(12*AJ89)+AK89</f>
        <v>0</v>
      </c>
      <c r="AM89">
        <v>49735</v>
      </c>
      <c r="AN89">
        <v>5</v>
      </c>
      <c r="AO89">
        <v>2</v>
      </c>
      <c r="AP89" s="24">
        <f t="shared" si="72"/>
        <v>49735.258333333331</v>
      </c>
      <c r="AQ89" s="24">
        <f t="shared" ref="AQ89:AQ91" si="81">(Z89+AD89+AH89+AL89)/240</f>
        <v>49735.258333333331</v>
      </c>
      <c r="AR89">
        <f>2010+2212+1346+14+1917</f>
        <v>7499</v>
      </c>
      <c r="AS89">
        <f>6+3+7+14+11</f>
        <v>41</v>
      </c>
      <c r="AT89">
        <f>6+3+7+0+3</f>
        <v>19</v>
      </c>
      <c r="AU89" s="28">
        <f t="shared" si="78"/>
        <v>7501.1291666666666</v>
      </c>
      <c r="AV89" s="116">
        <f t="shared" si="65"/>
        <v>85779.533333333326</v>
      </c>
      <c r="BE89">
        <v>7667</v>
      </c>
      <c r="BF89">
        <v>8</v>
      </c>
      <c r="BG89">
        <v>11</v>
      </c>
      <c r="BH89" s="28">
        <f t="shared" si="79"/>
        <v>7667.4458333333332</v>
      </c>
      <c r="BI89" s="102">
        <f t="shared" si="61"/>
        <v>93446.979166666657</v>
      </c>
      <c r="BJ89">
        <v>2112</v>
      </c>
      <c r="BK89">
        <v>11</v>
      </c>
      <c r="BL89">
        <v>0</v>
      </c>
      <c r="BM89" s="28">
        <f t="shared" si="43"/>
        <v>2112.5500000000002</v>
      </c>
      <c r="BN89" s="28"/>
      <c r="BO89" s="28"/>
      <c r="BP89" s="28"/>
      <c r="BQ89" s="28"/>
      <c r="BR89" s="36">
        <f t="shared" si="42"/>
        <v>2112.5500000000002</v>
      </c>
      <c r="BV89" s="114">
        <f>BW89</f>
        <v>95559.52916666666</v>
      </c>
      <c r="BW89" s="114">
        <f t="shared" ref="BW89:BW90" si="82">BI89+BR89</f>
        <v>95559.52916666666</v>
      </c>
      <c r="BX89" s="128">
        <f>BW89/'RPI_1880-2010'!B88*100</f>
        <v>1388341.263499443</v>
      </c>
      <c r="BY89" s="10" t="s">
        <v>10</v>
      </c>
    </row>
    <row r="90" spans="1:78" x14ac:dyDescent="0.25">
      <c r="A90" s="29">
        <v>1967</v>
      </c>
      <c r="R90" s="28">
        <v>21589</v>
      </c>
      <c r="U90" s="28">
        <f t="shared" ref="U90:U91" si="83">((240*R90)+(12*S90)+T90)/240</f>
        <v>21589</v>
      </c>
      <c r="V90" s="27"/>
      <c r="AM90" s="28">
        <v>48358</v>
      </c>
      <c r="AP90" s="24">
        <f t="shared" si="72"/>
        <v>48358</v>
      </c>
      <c r="AQ90" s="24">
        <f t="shared" si="81"/>
        <v>0</v>
      </c>
      <c r="AR90">
        <v>15538</v>
      </c>
      <c r="AU90" s="28">
        <f t="shared" si="78"/>
        <v>15538</v>
      </c>
      <c r="AV90" s="116">
        <f>AU90+AP90+U90</f>
        <v>85485</v>
      </c>
      <c r="BE90">
        <v>8801</v>
      </c>
      <c r="BH90" s="28">
        <f t="shared" si="79"/>
        <v>8801</v>
      </c>
      <c r="BI90" s="102">
        <f t="shared" si="61"/>
        <v>94286</v>
      </c>
      <c r="BJ90">
        <v>2590</v>
      </c>
      <c r="BM90" s="28">
        <f t="shared" si="43"/>
        <v>2590</v>
      </c>
      <c r="BN90" s="28"/>
      <c r="BO90" s="28"/>
      <c r="BP90" s="28"/>
      <c r="BQ90" s="28"/>
      <c r="BR90" s="36">
        <f>SUM(BM90:BQ90)</f>
        <v>2590</v>
      </c>
      <c r="BS90">
        <v>96876</v>
      </c>
      <c r="BV90" s="28">
        <f>((240*BS90)+(12*BT90)+BU90)/240</f>
        <v>96876</v>
      </c>
      <c r="BW90" s="28">
        <f t="shared" si="82"/>
        <v>96876</v>
      </c>
      <c r="BX90" s="128">
        <f>BW90/'RPI_1880-2010'!B89*100</f>
        <v>1371404.3035107588</v>
      </c>
      <c r="BY90" s="118" t="s">
        <v>208</v>
      </c>
    </row>
    <row r="91" spans="1:78" x14ac:dyDescent="0.25">
      <c r="A91" s="119">
        <v>1968</v>
      </c>
      <c r="R91" s="28">
        <v>17190</v>
      </c>
      <c r="S91">
        <v>12</v>
      </c>
      <c r="T91">
        <v>8</v>
      </c>
      <c r="U91" s="28">
        <f t="shared" si="83"/>
        <v>17190.633333333335</v>
      </c>
      <c r="V91" s="28"/>
      <c r="AM91">
        <v>45843</v>
      </c>
      <c r="AN91">
        <v>14</v>
      </c>
      <c r="AO91">
        <v>6</v>
      </c>
      <c r="AP91" s="24">
        <f t="shared" si="72"/>
        <v>45843.724999999999</v>
      </c>
      <c r="AQ91" s="24">
        <f t="shared" si="81"/>
        <v>0</v>
      </c>
      <c r="AR91">
        <v>10661</v>
      </c>
      <c r="AS91">
        <v>14</v>
      </c>
      <c r="AT91">
        <v>2</v>
      </c>
      <c r="AU91" s="28">
        <f t="shared" si="78"/>
        <v>10661.708333333334</v>
      </c>
      <c r="AV91" s="116">
        <f>AU91+AP91+U91</f>
        <v>73696.066666666666</v>
      </c>
      <c r="BE91">
        <v>8359</v>
      </c>
      <c r="BF91">
        <v>19</v>
      </c>
      <c r="BG91">
        <v>10</v>
      </c>
      <c r="BH91" s="28">
        <f t="shared" si="79"/>
        <v>8359.9916666666668</v>
      </c>
      <c r="BI91" s="102">
        <f t="shared" si="61"/>
        <v>82056.058333333334</v>
      </c>
      <c r="BJ91">
        <v>2828</v>
      </c>
      <c r="BK91">
        <v>16</v>
      </c>
      <c r="BL91">
        <v>8</v>
      </c>
      <c r="BM91" s="28">
        <f t="shared" si="43"/>
        <v>2828.8333333333335</v>
      </c>
      <c r="BN91" s="28"/>
      <c r="BO91" s="28"/>
      <c r="BP91" s="28"/>
      <c r="BQ91" s="28"/>
      <c r="BR91" s="36">
        <f>SUM(BM91:BQ91)</f>
        <v>2828.8333333333335</v>
      </c>
      <c r="BS91">
        <v>84884</v>
      </c>
      <c r="BT91">
        <v>17</v>
      </c>
      <c r="BU91">
        <v>10</v>
      </c>
      <c r="BV91" s="28">
        <f t="shared" ref="BV91" si="84">((240*BS91)+(12*BT91)+BU91)/240</f>
        <v>84884.891666666663</v>
      </c>
      <c r="BW91" s="28">
        <f>BI91+BR91</f>
        <v>84884.891666666663</v>
      </c>
      <c r="BX91" s="128">
        <f>BW91/'RPI_1880-2010'!B90*100</f>
        <v>1148179.24613373</v>
      </c>
      <c r="BY91" s="120" t="s">
        <v>19</v>
      </c>
    </row>
    <row r="92" spans="1:78" x14ac:dyDescent="0.25">
      <c r="A92" s="29">
        <v>1969</v>
      </c>
      <c r="U92" s="27"/>
      <c r="BR92" s="36">
        <f t="shared" ref="BR92:BR124" si="85">SUM(BM92:BQ92)</f>
        <v>0</v>
      </c>
      <c r="BV92" s="89">
        <v>104285</v>
      </c>
      <c r="BW92" s="114">
        <f>BV92</f>
        <v>104285</v>
      </c>
      <c r="BX92" s="128">
        <f>BW92/'RPI_1880-2010'!B91*100</f>
        <v>1338703.4659820283</v>
      </c>
      <c r="BY92" s="35" t="s">
        <v>118</v>
      </c>
    </row>
    <row r="93" spans="1:78" x14ac:dyDescent="0.25">
      <c r="A93" s="29">
        <v>1970</v>
      </c>
      <c r="U93" s="27"/>
      <c r="BR93" s="36">
        <f t="shared" si="85"/>
        <v>0</v>
      </c>
      <c r="BV93" s="89">
        <v>124783</v>
      </c>
      <c r="BW93" s="114">
        <f t="shared" ref="BW93:BW95" si="86">BV93</f>
        <v>124783</v>
      </c>
      <c r="BX93" s="128">
        <f>BW93/'RPI_1880-2010'!B92*100</f>
        <v>1505404.7532874895</v>
      </c>
      <c r="BY93" s="35" t="s">
        <v>120</v>
      </c>
    </row>
    <row r="94" spans="1:78" s="74" customFormat="1" x14ac:dyDescent="0.25">
      <c r="A94" s="77">
        <v>1971</v>
      </c>
      <c r="E94" s="76"/>
      <c r="I94" s="78"/>
      <c r="M94" s="76"/>
      <c r="Q94" s="78"/>
      <c r="R94" s="78"/>
      <c r="W94" s="78"/>
      <c r="Z94" s="78"/>
      <c r="AD94" s="78"/>
      <c r="AH94" s="78"/>
      <c r="AI94" s="78"/>
      <c r="AJ94" s="79"/>
      <c r="AK94" s="78"/>
      <c r="AL94" s="78"/>
      <c r="BR94" s="36">
        <f t="shared" si="85"/>
        <v>0</v>
      </c>
      <c r="BV94" s="89">
        <f>173115</f>
        <v>173115</v>
      </c>
      <c r="BW94" s="114">
        <f t="shared" si="86"/>
        <v>173115</v>
      </c>
      <c r="BX94" s="128">
        <f>BW94/'RPI_1880-2010'!B93*100</f>
        <v>1908444.493440635</v>
      </c>
      <c r="BY94" s="11" t="s">
        <v>10</v>
      </c>
    </row>
    <row r="95" spans="1:78" x14ac:dyDescent="0.25">
      <c r="A95" s="29">
        <v>1972</v>
      </c>
      <c r="BR95" s="36">
        <f t="shared" si="85"/>
        <v>0</v>
      </c>
      <c r="BV95" s="89">
        <f>161154</f>
        <v>161154</v>
      </c>
      <c r="BW95" s="114">
        <f t="shared" si="86"/>
        <v>161154</v>
      </c>
      <c r="BX95" s="128">
        <f>BW95/'RPI_1880-2010'!B94*100</f>
        <v>1658304.1778143651</v>
      </c>
      <c r="BY95" s="10" t="s">
        <v>10</v>
      </c>
    </row>
    <row r="96" spans="1:78" x14ac:dyDescent="0.25">
      <c r="A96" s="29">
        <v>1973</v>
      </c>
      <c r="U96" s="28">
        <v>42860</v>
      </c>
      <c r="AP96">
        <v>54714</v>
      </c>
      <c r="AU96">
        <v>17304</v>
      </c>
      <c r="AV96" s="18">
        <f t="shared" ref="AV96:AV100" si="87">AU96+AP96+U96</f>
        <v>114878</v>
      </c>
      <c r="BH96">
        <v>13800</v>
      </c>
      <c r="BI96" s="18">
        <f t="shared" ref="BI96:BI116" si="88">AV96+BH96</f>
        <v>128678</v>
      </c>
      <c r="BM96">
        <v>5054</v>
      </c>
      <c r="BR96" s="36">
        <f t="shared" si="85"/>
        <v>5054</v>
      </c>
      <c r="BV96" s="27">
        <f>133732</f>
        <v>133732</v>
      </c>
      <c r="BW96" s="28">
        <f>BI96+BR96</f>
        <v>133732</v>
      </c>
      <c r="BX96" s="128">
        <f>BW96/'RPI_1880-2010'!B95*100</f>
        <v>1261384.6444067156</v>
      </c>
      <c r="BY96" s="10" t="s">
        <v>134</v>
      </c>
    </row>
    <row r="97" spans="1:77" x14ac:dyDescent="0.25">
      <c r="A97" s="29">
        <v>1974</v>
      </c>
      <c r="U97" s="28">
        <v>50650.64</v>
      </c>
      <c r="AP97">
        <v>72619.009999999995</v>
      </c>
      <c r="AU97">
        <v>18707.93</v>
      </c>
      <c r="AV97" s="18">
        <f t="shared" si="87"/>
        <v>141977.58000000002</v>
      </c>
      <c r="BH97">
        <v>18478.96</v>
      </c>
      <c r="BI97" s="18">
        <f t="shared" si="88"/>
        <v>160456.54</v>
      </c>
      <c r="BM97">
        <v>8334.9599999999991</v>
      </c>
      <c r="BR97" s="36">
        <f t="shared" si="85"/>
        <v>8334.9599999999991</v>
      </c>
      <c r="BV97" s="27">
        <f>168791</f>
        <v>168791</v>
      </c>
      <c r="BW97" s="28">
        <f>BI97+BR97</f>
        <v>168791.5</v>
      </c>
      <c r="BX97" s="128">
        <f>BW97/'RPI_1880-2010'!B96*100</f>
        <v>1371953.9949605786</v>
      </c>
      <c r="BY97" s="10" t="s">
        <v>134</v>
      </c>
    </row>
    <row r="98" spans="1:77" x14ac:dyDescent="0.25">
      <c r="A98" s="29">
        <v>1975</v>
      </c>
      <c r="E98" s="24" t="s">
        <v>1</v>
      </c>
      <c r="I98" s="28" t="s">
        <v>1</v>
      </c>
      <c r="M98" s="24" t="s">
        <v>1</v>
      </c>
      <c r="Z98" s="28" t="s">
        <v>1</v>
      </c>
      <c r="AD98" s="28" t="s">
        <v>1</v>
      </c>
      <c r="AH98" s="28" t="s">
        <v>1</v>
      </c>
      <c r="BI98" s="18">
        <f t="shared" si="88"/>
        <v>0</v>
      </c>
      <c r="BR98" s="36">
        <f t="shared" si="85"/>
        <v>0</v>
      </c>
      <c r="BV98" s="114">
        <f>260809</f>
        <v>260809</v>
      </c>
      <c r="BW98" s="114">
        <f>BV98</f>
        <v>260809</v>
      </c>
      <c r="BX98" s="128">
        <f>BW98/'RPI_1880-2010'!B97*100</f>
        <v>1706306.836768073</v>
      </c>
      <c r="BY98" s="10" t="s">
        <v>10</v>
      </c>
    </row>
    <row r="99" spans="1:77" x14ac:dyDescent="0.25">
      <c r="A99" s="29">
        <v>1976</v>
      </c>
      <c r="E99" s="24">
        <v>93294</v>
      </c>
      <c r="I99" s="28">
        <v>10571</v>
      </c>
      <c r="M99" s="24">
        <v>14461</v>
      </c>
      <c r="U99" s="28">
        <f>E99+I99+M99</f>
        <v>118326</v>
      </c>
      <c r="Z99" s="28">
        <v>92031</v>
      </c>
      <c r="AD99" s="28">
        <v>14238</v>
      </c>
      <c r="AH99" s="28">
        <v>8540</v>
      </c>
      <c r="AP99" s="18">
        <f>Z99+AD99+AH99</f>
        <v>114809</v>
      </c>
      <c r="AQ99" s="18"/>
      <c r="AU99">
        <f>24255+23177</f>
        <v>47432</v>
      </c>
      <c r="AV99" s="18">
        <f t="shared" si="87"/>
        <v>280567</v>
      </c>
      <c r="BH99">
        <v>40021</v>
      </c>
      <c r="BI99" s="18">
        <f t="shared" si="88"/>
        <v>320588</v>
      </c>
      <c r="BM99">
        <f>9926+875</f>
        <v>10801</v>
      </c>
      <c r="BN99">
        <v>23856</v>
      </c>
      <c r="BO99">
        <v>93536</v>
      </c>
      <c r="BQ99">
        <v>116</v>
      </c>
      <c r="BR99" s="36">
        <f t="shared" si="85"/>
        <v>128309</v>
      </c>
      <c r="BV99" s="25">
        <f>331506</f>
        <v>331506</v>
      </c>
      <c r="BW99" s="122">
        <f>BI99+BR99</f>
        <v>448897</v>
      </c>
      <c r="BX99" s="128">
        <f>BW99/'RPI_1880-2010'!B98*100</f>
        <v>2519911.3057146063</v>
      </c>
      <c r="BY99" s="35" t="s">
        <v>164</v>
      </c>
    </row>
    <row r="100" spans="1:77" x14ac:dyDescent="0.25">
      <c r="A100" s="29">
        <v>1977</v>
      </c>
      <c r="E100" s="24">
        <v>126597.6</v>
      </c>
      <c r="I100" s="28">
        <v>16347.04</v>
      </c>
      <c r="M100" s="24">
        <v>22068.99</v>
      </c>
      <c r="U100" s="28">
        <f>E100+I100+M100</f>
        <v>165013.63</v>
      </c>
      <c r="Z100" s="28">
        <v>124859.03</v>
      </c>
      <c r="AD100" s="28">
        <v>21178.73</v>
      </c>
      <c r="AH100" s="28">
        <v>7053.7</v>
      </c>
      <c r="AP100" s="18">
        <f>Z100+AD100+AH100</f>
        <v>153091.46000000002</v>
      </c>
      <c r="AQ100" s="18"/>
      <c r="AU100">
        <f>19863+2070.99</f>
        <v>21933.989999999998</v>
      </c>
      <c r="AV100" s="18">
        <f t="shared" si="87"/>
        <v>340039.08</v>
      </c>
      <c r="BH100">
        <v>49246.87</v>
      </c>
      <c r="BI100" s="18">
        <f t="shared" si="88"/>
        <v>389285.95</v>
      </c>
      <c r="BM100">
        <f>12667+1100</f>
        <v>13767</v>
      </c>
      <c r="BN100">
        <v>22071</v>
      </c>
      <c r="BO100">
        <v>91479</v>
      </c>
      <c r="BQ100">
        <v>88.53</v>
      </c>
      <c r="BR100" s="36">
        <f t="shared" si="85"/>
        <v>127405.53</v>
      </c>
      <c r="BV100" s="25">
        <f>392142</f>
        <v>392142</v>
      </c>
      <c r="BW100" s="122">
        <f>BI100+BR100</f>
        <v>516691.48</v>
      </c>
      <c r="BX100" s="128">
        <f>BW100/'RPI_1880-2010'!B99*100</f>
        <v>2503714.1057324223</v>
      </c>
      <c r="BY100" s="35" t="s">
        <v>165</v>
      </c>
    </row>
    <row r="101" spans="1:77" x14ac:dyDescent="0.25">
      <c r="A101" s="29">
        <v>1978</v>
      </c>
      <c r="BI101" s="18">
        <f t="shared" si="88"/>
        <v>0</v>
      </c>
      <c r="BR101" s="36">
        <f t="shared" si="85"/>
        <v>0</v>
      </c>
      <c r="BV101" s="114">
        <v>399643</v>
      </c>
      <c r="BW101" s="114">
        <f>BV101</f>
        <v>399643</v>
      </c>
      <c r="BX101" s="128">
        <f>BW101/'RPI_1880-2010'!B100*100</f>
        <v>1788191.8654078483</v>
      </c>
      <c r="BY101" s="88" t="s">
        <v>162</v>
      </c>
    </row>
    <row r="102" spans="1:77" x14ac:dyDescent="0.25">
      <c r="A102" s="29">
        <v>1979</v>
      </c>
      <c r="U102" s="28">
        <v>135780</v>
      </c>
      <c r="AP102">
        <v>133204</v>
      </c>
      <c r="AU102">
        <v>56044</v>
      </c>
      <c r="AV102" s="18">
        <f>AU102+AP102+U102</f>
        <v>325028</v>
      </c>
      <c r="BH102">
        <v>44136</v>
      </c>
      <c r="BI102" s="18">
        <f t="shared" si="88"/>
        <v>369164</v>
      </c>
      <c r="BM102">
        <v>15827</v>
      </c>
      <c r="BR102" s="36">
        <f t="shared" si="85"/>
        <v>15827</v>
      </c>
      <c r="BV102" s="27">
        <f>384991</f>
        <v>384991</v>
      </c>
      <c r="BW102" s="28">
        <f t="shared" ref="BW102:BW104" si="89">BI102+BR102</f>
        <v>384991</v>
      </c>
      <c r="BX102" s="128">
        <f>BW102/'RPI_1880-2010'!B101*100</f>
        <v>1519121.6509489799</v>
      </c>
      <c r="BY102" s="10" t="s">
        <v>10</v>
      </c>
    </row>
    <row r="103" spans="1:77" x14ac:dyDescent="0.25">
      <c r="A103" s="29">
        <v>1980</v>
      </c>
      <c r="U103" s="28">
        <v>252448.19</v>
      </c>
      <c r="AP103">
        <v>176950.3</v>
      </c>
      <c r="AU103">
        <v>51837.88</v>
      </c>
      <c r="AV103" s="18">
        <f>AU103+AP103+U103</f>
        <v>481236.37</v>
      </c>
      <c r="AW103" s="23"/>
      <c r="BH103">
        <v>67657.119999999995</v>
      </c>
      <c r="BI103" s="18">
        <f t="shared" si="88"/>
        <v>548893.49</v>
      </c>
      <c r="BM103">
        <f>1550+18359</f>
        <v>19909</v>
      </c>
      <c r="BN103">
        <v>27980</v>
      </c>
      <c r="BO103">
        <v>133807</v>
      </c>
      <c r="BR103" s="36">
        <f t="shared" si="85"/>
        <v>181696</v>
      </c>
      <c r="BV103" s="27">
        <f>567586.62+BO103+BN103</f>
        <v>729373.62</v>
      </c>
      <c r="BW103" s="28">
        <f t="shared" si="89"/>
        <v>730589.49</v>
      </c>
      <c r="BX103" s="128">
        <f>BW103/'RPI_1880-2010'!B102*100</f>
        <v>2443361.3925955654</v>
      </c>
      <c r="BY103" s="121" t="s">
        <v>125</v>
      </c>
    </row>
    <row r="104" spans="1:77" x14ac:dyDescent="0.25">
      <c r="A104" s="29">
        <v>1981</v>
      </c>
      <c r="AV104" s="23">
        <v>505818.63</v>
      </c>
      <c r="BH104">
        <v>68177.59</v>
      </c>
      <c r="BI104" s="18">
        <f t="shared" si="88"/>
        <v>573996.22</v>
      </c>
      <c r="BM104">
        <f>2000+22219.59</f>
        <v>24219.59</v>
      </c>
      <c r="BN104">
        <v>33600</v>
      </c>
      <c r="BO104">
        <v>170799.34</v>
      </c>
      <c r="BR104" s="36">
        <f t="shared" si="85"/>
        <v>228618.93</v>
      </c>
      <c r="BV104" s="114">
        <f>BW104</f>
        <v>802615.14999999991</v>
      </c>
      <c r="BW104" s="28">
        <f t="shared" si="89"/>
        <v>802615.14999999991</v>
      </c>
      <c r="BX104" s="128">
        <f>BW104/'RPI_1880-2010'!B103*100</f>
        <v>2399375.6539415857</v>
      </c>
      <c r="BY104" s="10" t="s">
        <v>10</v>
      </c>
    </row>
    <row r="105" spans="1:77" x14ac:dyDescent="0.25">
      <c r="A105" s="29">
        <v>1982</v>
      </c>
      <c r="AV105">
        <v>512686</v>
      </c>
      <c r="BH105">
        <v>74100</v>
      </c>
      <c r="BI105" s="18">
        <f t="shared" si="88"/>
        <v>586786</v>
      </c>
      <c r="BM105">
        <f>2175+21058</f>
        <v>23233</v>
      </c>
      <c r="BN105">
        <v>28000</v>
      </c>
      <c r="BO105">
        <v>178554</v>
      </c>
      <c r="BR105" s="36">
        <f t="shared" si="85"/>
        <v>229787</v>
      </c>
      <c r="BV105" s="27">
        <f>301620+512686+2267</f>
        <v>816573</v>
      </c>
      <c r="BW105" s="28">
        <f t="shared" ref="BW105:BW110" si="90">BI105+BR105</f>
        <v>816573</v>
      </c>
      <c r="BX105" s="128">
        <f>BW105/'RPI_1880-2010'!B104*100</f>
        <v>2247592.9646858056</v>
      </c>
      <c r="BY105" s="35" t="s">
        <v>126</v>
      </c>
    </row>
    <row r="106" spans="1:77" x14ac:dyDescent="0.25">
      <c r="A106" s="29">
        <v>1983</v>
      </c>
      <c r="AV106">
        <v>513427</v>
      </c>
      <c r="BH106">
        <v>69408</v>
      </c>
      <c r="BI106" s="18">
        <f t="shared" si="88"/>
        <v>582835</v>
      </c>
      <c r="BM106">
        <f>2500+19715</f>
        <v>22215</v>
      </c>
      <c r="BN106">
        <v>35000</v>
      </c>
      <c r="BO106">
        <v>191458</v>
      </c>
      <c r="BR106" s="36">
        <f t="shared" si="85"/>
        <v>248673</v>
      </c>
      <c r="BV106" s="27">
        <f>513427+298508+19573</f>
        <v>831508</v>
      </c>
      <c r="BW106" s="28">
        <f t="shared" si="90"/>
        <v>831508</v>
      </c>
      <c r="BX106" s="128">
        <f>BW106/'RPI_1880-2010'!B105*100</f>
        <v>2188294.1207431969</v>
      </c>
      <c r="BY106" s="35" t="s">
        <v>126</v>
      </c>
    </row>
    <row r="107" spans="1:77" x14ac:dyDescent="0.25">
      <c r="A107" s="29">
        <v>1984</v>
      </c>
      <c r="AV107">
        <v>484464</v>
      </c>
      <c r="BH107">
        <v>58623</v>
      </c>
      <c r="BI107" s="18">
        <f t="shared" si="88"/>
        <v>543087</v>
      </c>
      <c r="BM107">
        <v>15451</v>
      </c>
      <c r="BN107">
        <v>38000</v>
      </c>
      <c r="BO107">
        <v>185337</v>
      </c>
      <c r="BQ107">
        <f>2800</f>
        <v>2800</v>
      </c>
      <c r="BR107" s="36">
        <f t="shared" si="85"/>
        <v>241588</v>
      </c>
      <c r="BV107" s="27">
        <f>484464+288979+11232</f>
        <v>784675</v>
      </c>
      <c r="BW107" s="28">
        <f t="shared" si="90"/>
        <v>784675</v>
      </c>
      <c r="BX107" s="128">
        <f>BW107/'RPI_1880-2010'!B106*100</f>
        <v>1967047.7049961144</v>
      </c>
      <c r="BY107" s="10" t="s">
        <v>10</v>
      </c>
    </row>
    <row r="108" spans="1:77" x14ac:dyDescent="0.25">
      <c r="A108" s="29">
        <v>1985</v>
      </c>
      <c r="AV108">
        <v>479051</v>
      </c>
      <c r="BH108">
        <v>61965</v>
      </c>
      <c r="BI108" s="18">
        <f t="shared" si="88"/>
        <v>541016</v>
      </c>
      <c r="BM108">
        <f>3000+21482</f>
        <v>24482</v>
      </c>
      <c r="BN108">
        <v>40000</v>
      </c>
      <c r="BO108">
        <v>182904</v>
      </c>
      <c r="BQ108">
        <v>10000</v>
      </c>
      <c r="BR108" s="36">
        <f t="shared" si="85"/>
        <v>257386</v>
      </c>
      <c r="BV108" s="27">
        <f>479051+307095+12256</f>
        <v>798402</v>
      </c>
      <c r="BW108" s="28">
        <f t="shared" si="90"/>
        <v>798402</v>
      </c>
      <c r="BX108" s="128">
        <f>BW108/'RPI_1880-2010'!B107*100</f>
        <v>1886672.3380121933</v>
      </c>
      <c r="BY108" s="19" t="s">
        <v>132</v>
      </c>
    </row>
    <row r="109" spans="1:77" x14ac:dyDescent="0.25">
      <c r="A109" s="29">
        <v>1986</v>
      </c>
      <c r="AV109">
        <v>494272</v>
      </c>
      <c r="BH109">
        <v>63466</v>
      </c>
      <c r="BI109" s="18">
        <f t="shared" si="88"/>
        <v>557738</v>
      </c>
      <c r="BM109">
        <f>3500+21094</f>
        <v>24594</v>
      </c>
      <c r="BN109">
        <v>44000</v>
      </c>
      <c r="BO109">
        <v>184286</v>
      </c>
      <c r="BQ109">
        <v>10000</v>
      </c>
      <c r="BR109" s="36">
        <f t="shared" si="85"/>
        <v>262880</v>
      </c>
      <c r="BV109" s="27">
        <f>494272+323623+2723</f>
        <v>820618</v>
      </c>
      <c r="BW109" s="28">
        <f t="shared" si="90"/>
        <v>820618</v>
      </c>
      <c r="BX109" s="128">
        <f>BW109/'RPI_1880-2010'!B108*100</f>
        <v>1875355.3635906577</v>
      </c>
      <c r="BY109" s="19" t="s">
        <v>132</v>
      </c>
    </row>
    <row r="110" spans="1:77" x14ac:dyDescent="0.25">
      <c r="A110" s="29">
        <v>1987</v>
      </c>
      <c r="AV110">
        <v>531665</v>
      </c>
      <c r="BH110">
        <v>72042</v>
      </c>
      <c r="BI110" s="18">
        <f t="shared" si="88"/>
        <v>603707</v>
      </c>
      <c r="BM110">
        <v>24694</v>
      </c>
      <c r="BN110">
        <v>49000</v>
      </c>
      <c r="BO110">
        <v>214608</v>
      </c>
      <c r="BQ110">
        <f>3700+1500</f>
        <v>5200</v>
      </c>
      <c r="BR110" s="36">
        <f t="shared" si="85"/>
        <v>293502</v>
      </c>
      <c r="BV110" s="27">
        <f>531665+371038+8006</f>
        <v>910709</v>
      </c>
      <c r="BW110" s="28">
        <f t="shared" si="90"/>
        <v>897209</v>
      </c>
      <c r="BX110" s="128">
        <f>BW110/'RPI_1880-2010'!B109*100</f>
        <v>1968297.3915714193</v>
      </c>
      <c r="BY110" s="10" t="s">
        <v>218</v>
      </c>
    </row>
    <row r="111" spans="1:77" x14ac:dyDescent="0.25">
      <c r="A111" s="29">
        <v>1988</v>
      </c>
      <c r="AV111">
        <v>615735</v>
      </c>
      <c r="BH111">
        <v>82340</v>
      </c>
      <c r="BI111" s="18">
        <f t="shared" si="88"/>
        <v>698075</v>
      </c>
      <c r="BM111">
        <f>4000+31495</f>
        <v>35495</v>
      </c>
      <c r="BN111">
        <v>51000</v>
      </c>
      <c r="BO111">
        <v>212165</v>
      </c>
      <c r="BR111" s="36">
        <f t="shared" si="85"/>
        <v>298660</v>
      </c>
      <c r="BV111" s="27">
        <f>615735+381982-982</f>
        <v>996735</v>
      </c>
      <c r="BW111" s="28">
        <f t="shared" ref="BW111:BW115" si="91">BI111+BR111</f>
        <v>996735</v>
      </c>
      <c r="BX111" s="128">
        <f>BW111/'RPI_1880-2010'!B110*100</f>
        <v>2084478.3236087584</v>
      </c>
      <c r="BY111" s="35" t="s">
        <v>130</v>
      </c>
    </row>
    <row r="112" spans="1:77" x14ac:dyDescent="0.25">
      <c r="A112" s="29">
        <v>1989</v>
      </c>
      <c r="AV112">
        <v>552816</v>
      </c>
      <c r="BH112">
        <v>79014</v>
      </c>
      <c r="BI112" s="18">
        <f t="shared" si="88"/>
        <v>631830</v>
      </c>
      <c r="BM112">
        <f>4400+38740</f>
        <v>43140</v>
      </c>
      <c r="BN112">
        <v>53000</v>
      </c>
      <c r="BO112">
        <v>238710</v>
      </c>
      <c r="BQ112">
        <v>2182</v>
      </c>
      <c r="BR112" s="36">
        <f t="shared" si="85"/>
        <v>337032</v>
      </c>
      <c r="BV112" s="28">
        <f>552816+396904+19142</f>
        <v>968862</v>
      </c>
      <c r="BW112" s="28">
        <f t="shared" si="91"/>
        <v>968862</v>
      </c>
      <c r="BX112" s="128">
        <f>BW112/'RPI_1880-2010'!B111*100</f>
        <v>1879971.2822104935</v>
      </c>
      <c r="BY112" s="35" t="s">
        <v>133</v>
      </c>
    </row>
    <row r="113" spans="1:77" ht="30" x14ac:dyDescent="0.25">
      <c r="A113" s="29">
        <v>1990</v>
      </c>
      <c r="AV113">
        <v>709003</v>
      </c>
      <c r="BH113">
        <v>98070</v>
      </c>
      <c r="BI113" s="18">
        <f t="shared" si="88"/>
        <v>807073</v>
      </c>
      <c r="BM113">
        <f>4840+55204+12428+35726</f>
        <v>108198</v>
      </c>
      <c r="BN113">
        <v>57000</v>
      </c>
      <c r="BO113">
        <v>274814</v>
      </c>
      <c r="BQ113">
        <v>2604</v>
      </c>
      <c r="BR113" s="36">
        <f t="shared" si="85"/>
        <v>442616</v>
      </c>
      <c r="BV113" s="28">
        <f>709003+505872+34814</f>
        <v>1249689</v>
      </c>
      <c r="BW113" s="28">
        <f t="shared" si="91"/>
        <v>1249689</v>
      </c>
      <c r="BX113" s="128">
        <f>BW113/'RPI_1880-2010'!B112*100</f>
        <v>2215289.3001489048</v>
      </c>
      <c r="BY113" s="10" t="s">
        <v>169</v>
      </c>
    </row>
    <row r="114" spans="1:77" ht="30" x14ac:dyDescent="0.25">
      <c r="A114" s="29">
        <v>1991</v>
      </c>
      <c r="U114" s="28">
        <f>67772+47643</f>
        <v>115415</v>
      </c>
      <c r="AP114">
        <f>62752+46582</f>
        <v>109334</v>
      </c>
      <c r="AU114">
        <f>14094+16411+4595+6469</f>
        <v>41569</v>
      </c>
      <c r="AV114" s="18">
        <f>U114+AP114+AU114</f>
        <v>266318</v>
      </c>
      <c r="BH114">
        <v>62656</v>
      </c>
      <c r="BI114" s="18">
        <f t="shared" si="88"/>
        <v>328974</v>
      </c>
      <c r="BN114">
        <v>240450</v>
      </c>
      <c r="BR114" s="36">
        <f t="shared" si="85"/>
        <v>240450</v>
      </c>
      <c r="BV114" s="28">
        <v>569424</v>
      </c>
      <c r="BW114" s="28">
        <f t="shared" si="91"/>
        <v>569424</v>
      </c>
      <c r="BX114" s="128">
        <f>BW114/'RPI_1880-2010'!B113*100</f>
        <v>953441.72261942644</v>
      </c>
      <c r="BY114" s="10" t="s">
        <v>170</v>
      </c>
    </row>
    <row r="115" spans="1:77" x14ac:dyDescent="0.25">
      <c r="A115" s="29">
        <v>1992</v>
      </c>
      <c r="U115" s="28">
        <f>110727+101630</f>
        <v>212357</v>
      </c>
      <c r="AP115">
        <f>129489+77860</f>
        <v>207349</v>
      </c>
      <c r="AU115">
        <f>12429+16971+9549+25380</f>
        <v>64329</v>
      </c>
      <c r="AV115" s="18">
        <f>U115+AP115+AU115</f>
        <v>484035</v>
      </c>
      <c r="BH115">
        <v>114334</v>
      </c>
      <c r="BI115" s="18">
        <f t="shared" si="88"/>
        <v>598369</v>
      </c>
      <c r="BN115">
        <v>403352</v>
      </c>
      <c r="BR115" s="36">
        <f t="shared" si="85"/>
        <v>403352</v>
      </c>
      <c r="BV115" s="28">
        <f>1001721</f>
        <v>1001721</v>
      </c>
      <c r="BW115" s="28">
        <f t="shared" si="91"/>
        <v>1001721</v>
      </c>
      <c r="BX115" s="128">
        <f>BW115/'RPI_1880-2010'!B114*100</f>
        <v>1616800.3615410686</v>
      </c>
      <c r="BY115" s="10" t="s">
        <v>171</v>
      </c>
    </row>
    <row r="116" spans="1:77" x14ac:dyDescent="0.25">
      <c r="A116" s="29">
        <v>1993</v>
      </c>
      <c r="U116" s="28">
        <f>95028+86691</f>
        <v>181719</v>
      </c>
      <c r="AP116">
        <f>108673+78461</f>
        <v>187134</v>
      </c>
      <c r="AU116">
        <f>11071+6517+9909+26854+32523</f>
        <v>86874</v>
      </c>
      <c r="AV116" s="18">
        <f>U116+AP116+AU116</f>
        <v>455727</v>
      </c>
      <c r="BH116">
        <v>114079</v>
      </c>
      <c r="BI116" s="18">
        <f t="shared" si="88"/>
        <v>569806</v>
      </c>
      <c r="BN116">
        <v>457099</v>
      </c>
      <c r="BR116" s="36">
        <f t="shared" si="85"/>
        <v>457099</v>
      </c>
      <c r="BV116" s="28">
        <v>1026905</v>
      </c>
      <c r="BW116" s="28">
        <f>BI116+BR116</f>
        <v>1026905</v>
      </c>
      <c r="BX116" s="128">
        <f>BW116/'RPI_1880-2010'!B115*100</f>
        <v>1631458.1215048297</v>
      </c>
      <c r="BY116" s="19" t="s">
        <v>172</v>
      </c>
    </row>
    <row r="117" spans="1:77" x14ac:dyDescent="0.25">
      <c r="A117" s="29">
        <v>1994</v>
      </c>
      <c r="BR117" s="36">
        <f t="shared" si="85"/>
        <v>0</v>
      </c>
      <c r="BV117" s="114">
        <v>1018719</v>
      </c>
      <c r="BW117" s="114">
        <f>BV117</f>
        <v>1018719</v>
      </c>
      <c r="BX117" s="128">
        <f>BW117/'RPI_1880-2010'!B116*100</f>
        <v>1580315.8400943179</v>
      </c>
      <c r="BY117" s="10" t="s">
        <v>10</v>
      </c>
    </row>
    <row r="118" spans="1:77" x14ac:dyDescent="0.25">
      <c r="A118" s="29">
        <v>1995</v>
      </c>
      <c r="BR118" s="36">
        <f t="shared" si="85"/>
        <v>0</v>
      </c>
      <c r="BV118" s="28">
        <v>998676</v>
      </c>
      <c r="BW118" s="114">
        <f t="shared" ref="BW118:BW122" si="92">BV118</f>
        <v>998676</v>
      </c>
      <c r="BX118" s="128">
        <f>BW118/'RPI_1880-2010'!B117*100</f>
        <v>1497332.713615305</v>
      </c>
      <c r="BY118" s="10" t="s">
        <v>10</v>
      </c>
    </row>
    <row r="119" spans="1:77" ht="30" x14ac:dyDescent="0.25">
      <c r="A119" s="29">
        <v>1996</v>
      </c>
      <c r="E119" s="24">
        <f>13563+33492+29386+34488+3971+8695-(700+2150)</f>
        <v>120745</v>
      </c>
      <c r="I119" s="28">
        <f>6620+6722</f>
        <v>13342</v>
      </c>
      <c r="M119" s="24">
        <f>4970+1955</f>
        <v>6925</v>
      </c>
      <c r="U119" s="136">
        <f>V119</f>
        <v>141012</v>
      </c>
      <c r="V119" s="38">
        <f>E119+I119+M119</f>
        <v>141012</v>
      </c>
      <c r="Z119" s="28">
        <f>21103+23379+31670+36561+6850+10432-(1650+4116)</f>
        <v>124229</v>
      </c>
      <c r="AD119" s="28">
        <f>12522+9835</f>
        <v>22357</v>
      </c>
      <c r="AH119" s="28">
        <f>5547+1986</f>
        <v>7533</v>
      </c>
      <c r="AP119" s="137">
        <f>AQ119</f>
        <v>154119</v>
      </c>
      <c r="AQ119" s="18">
        <f>Z119+AD119+AH119</f>
        <v>154119</v>
      </c>
      <c r="AU119">
        <f>12015+6312+7182+15841</f>
        <v>41350</v>
      </c>
      <c r="AV119" s="18">
        <f>U119+AP119+AU119</f>
        <v>336481</v>
      </c>
      <c r="BH119">
        <f>115197+11408</f>
        <v>126605</v>
      </c>
      <c r="BI119" s="18">
        <f t="shared" ref="BI119" si="93">AV119+BH119</f>
        <v>463086</v>
      </c>
      <c r="BM119">
        <f>31486+28612</f>
        <v>60098</v>
      </c>
      <c r="BN119">
        <v>77999</v>
      </c>
      <c r="BO119">
        <v>425790</v>
      </c>
      <c r="BP119">
        <v>11094</v>
      </c>
      <c r="BQ119">
        <f>2502+16329</f>
        <v>18831</v>
      </c>
      <c r="BR119" s="36">
        <f t="shared" si="85"/>
        <v>593812</v>
      </c>
      <c r="BV119" s="138">
        <f>BW119</f>
        <v>1056898</v>
      </c>
      <c r="BW119" s="28">
        <f t="shared" ref="BW119" si="94">BI119+BR119</f>
        <v>1056898</v>
      </c>
      <c r="BX119" s="128">
        <f>BW119/'RPI_1880-2010'!B118*100</f>
        <v>1547276.2674396473</v>
      </c>
      <c r="BY119" s="10" t="s">
        <v>242</v>
      </c>
    </row>
    <row r="120" spans="1:77" x14ac:dyDescent="0.25">
      <c r="A120" s="29">
        <v>1997</v>
      </c>
      <c r="BR120" s="36">
        <f t="shared" si="85"/>
        <v>0</v>
      </c>
      <c r="BV120" s="33">
        <v>1192000</v>
      </c>
      <c r="BW120" s="114">
        <f t="shared" si="92"/>
        <v>1192000</v>
      </c>
      <c r="BX120" s="128">
        <f>BW120/'RPI_1880-2010'!B119*100</f>
        <v>1691980.1277501774</v>
      </c>
      <c r="BY120" s="10" t="s">
        <v>10</v>
      </c>
    </row>
    <row r="121" spans="1:77" x14ac:dyDescent="0.25">
      <c r="A121" s="29">
        <v>1998</v>
      </c>
      <c r="BR121" s="36">
        <f t="shared" si="85"/>
        <v>0</v>
      </c>
      <c r="BV121" s="33">
        <v>1209000</v>
      </c>
      <c r="BW121" s="114">
        <f t="shared" si="92"/>
        <v>1209000</v>
      </c>
      <c r="BX121" s="128">
        <f>BW121/'RPI_1880-2010'!B120*100</f>
        <v>1659232.8278322925</v>
      </c>
      <c r="BY121" s="10" t="s">
        <v>10</v>
      </c>
    </row>
    <row r="122" spans="1:77" ht="30" x14ac:dyDescent="0.25">
      <c r="A122" s="29">
        <v>1999</v>
      </c>
      <c r="BR122" s="36">
        <f t="shared" si="85"/>
        <v>0</v>
      </c>
      <c r="BV122" s="27">
        <v>1305000</v>
      </c>
      <c r="BW122" s="114">
        <f t="shared" si="92"/>
        <v>1305000</v>
      </c>
      <c r="BX122" s="128">
        <f>BW122/'RPI_1880-2010'!B121*100</f>
        <v>1763799.5350597394</v>
      </c>
      <c r="BY122" s="10" t="s">
        <v>167</v>
      </c>
    </row>
    <row r="123" spans="1:77" x14ac:dyDescent="0.25">
      <c r="A123" s="29">
        <v>2000</v>
      </c>
      <c r="AW123" t="s">
        <v>197</v>
      </c>
      <c r="BI123">
        <v>821000</v>
      </c>
      <c r="BN123">
        <v>203000</v>
      </c>
      <c r="BO123">
        <v>461000</v>
      </c>
      <c r="BR123" s="36">
        <f t="shared" si="85"/>
        <v>664000</v>
      </c>
      <c r="BV123" s="28">
        <v>1485000</v>
      </c>
      <c r="BW123" s="28">
        <f>BI123+BR123</f>
        <v>1485000</v>
      </c>
      <c r="BX123" s="128">
        <f>BW123/'RPI_1880-2010'!B122*100</f>
        <v>1949432.8922495274</v>
      </c>
      <c r="BY123" s="88" t="s">
        <v>196</v>
      </c>
    </row>
    <row r="124" spans="1:77" ht="30" x14ac:dyDescent="0.25">
      <c r="A124" s="29">
        <v>2001</v>
      </c>
      <c r="AW124" t="s">
        <v>197</v>
      </c>
      <c r="BI124">
        <v>732000</v>
      </c>
      <c r="BN124">
        <v>267000</v>
      </c>
      <c r="BO124">
        <v>533000</v>
      </c>
      <c r="BR124" s="36">
        <f t="shared" si="85"/>
        <v>800000</v>
      </c>
      <c r="BV124" s="28">
        <v>1532000</v>
      </c>
      <c r="BW124" s="28">
        <f>BI124+BR124</f>
        <v>1532000</v>
      </c>
      <c r="BX124" s="128">
        <f>BW124/'RPI_1880-2010'!B123*100</f>
        <v>1976111.2401000955</v>
      </c>
      <c r="BY124" s="10" t="s">
        <v>237</v>
      </c>
    </row>
    <row r="125" spans="1:77" ht="30" x14ac:dyDescent="0.25">
      <c r="A125" s="29">
        <v>2002</v>
      </c>
      <c r="AV125">
        <v>414000</v>
      </c>
      <c r="BH125">
        <f>96000+22000</f>
        <v>118000</v>
      </c>
      <c r="BI125">
        <f>AV125+BH125</f>
        <v>532000</v>
      </c>
      <c r="BM125">
        <f>61000</f>
        <v>61000</v>
      </c>
      <c r="BN125" s="142">
        <v>796000</v>
      </c>
      <c r="BO125" s="142"/>
      <c r="BP125">
        <f>1000*(6+46)</f>
        <v>52000</v>
      </c>
      <c r="BQ125">
        <f>1000*(36+31+18)</f>
        <v>85000</v>
      </c>
      <c r="BR125" s="36">
        <f t="shared" ref="BR125:BR128" si="95">SUM(BM125:BQ125)</f>
        <v>994000</v>
      </c>
      <c r="BV125" s="27"/>
      <c r="BW125" s="105">
        <f>BR125+BI125</f>
        <v>1526000</v>
      </c>
      <c r="BX125" s="128">
        <f>BW125/'RPI_1880-2010'!B124*100</f>
        <v>1936105.9656423659</v>
      </c>
      <c r="BY125" s="10" t="s">
        <v>236</v>
      </c>
    </row>
    <row r="126" spans="1:77" ht="75" x14ac:dyDescent="0.25">
      <c r="A126" s="29">
        <v>2003</v>
      </c>
      <c r="AV126">
        <v>449000</v>
      </c>
      <c r="BH126">
        <f>98000+30000</f>
        <v>128000</v>
      </c>
      <c r="BI126">
        <f>AV126+BH126</f>
        <v>577000</v>
      </c>
      <c r="BM126">
        <v>36000</v>
      </c>
      <c r="BN126" s="142">
        <v>820000</v>
      </c>
      <c r="BO126" s="142"/>
      <c r="BP126">
        <f>12000+13000</f>
        <v>25000</v>
      </c>
      <c r="BQ126">
        <f>1000*(33+26+24)</f>
        <v>83000</v>
      </c>
      <c r="BR126" s="36">
        <f t="shared" si="95"/>
        <v>964000</v>
      </c>
      <c r="BV126" s="105">
        <v>1616000</v>
      </c>
      <c r="BW126" s="105">
        <f>BR126+BI126</f>
        <v>1541000</v>
      </c>
      <c r="BX126" s="128">
        <f>BW126/'RPI_1880-2010'!B125*100</f>
        <v>1900170.1644923426</v>
      </c>
      <c r="BY126" s="113" t="s">
        <v>235</v>
      </c>
    </row>
    <row r="127" spans="1:77" ht="60" x14ac:dyDescent="0.25">
      <c r="A127" s="29">
        <v>2004</v>
      </c>
      <c r="AV127">
        <v>451000</v>
      </c>
      <c r="BH127">
        <f>106000+35000</f>
        <v>141000</v>
      </c>
      <c r="BI127">
        <f>AV127+BH127</f>
        <v>592000</v>
      </c>
      <c r="BM127">
        <v>90000</v>
      </c>
      <c r="BN127" s="142">
        <v>857000</v>
      </c>
      <c r="BO127" s="142"/>
      <c r="BP127" s="134">
        <f>1000*(6+69)</f>
        <v>75000</v>
      </c>
      <c r="BQ127">
        <f>39000+27000+29000</f>
        <v>95000</v>
      </c>
      <c r="BR127" s="36">
        <f t="shared" si="95"/>
        <v>1117000</v>
      </c>
      <c r="BV127" s="105">
        <v>1785000</v>
      </c>
      <c r="BW127" s="105">
        <f>BR127+BI127</f>
        <v>1709000</v>
      </c>
      <c r="BX127" s="128">
        <f>BW127/'RPI_1880-2010'!B126*100</f>
        <v>2046387.9874989521</v>
      </c>
      <c r="BY127" s="10" t="s">
        <v>234</v>
      </c>
    </row>
    <row r="128" spans="1:77" x14ac:dyDescent="0.25">
      <c r="A128" s="29">
        <v>2005</v>
      </c>
      <c r="AV128">
        <f>281241+33477+54770</f>
        <v>369488</v>
      </c>
      <c r="BH128">
        <v>136388</v>
      </c>
      <c r="BI128">
        <f>AV128+BH128</f>
        <v>505876</v>
      </c>
      <c r="BM128">
        <f>34429+50619</f>
        <v>85048</v>
      </c>
      <c r="BN128">
        <v>310985</v>
      </c>
      <c r="BO128">
        <v>622310</v>
      </c>
      <c r="BP128">
        <v>71116</v>
      </c>
      <c r="BQ128">
        <v>88365</v>
      </c>
      <c r="BR128" s="36">
        <f t="shared" si="95"/>
        <v>1177824</v>
      </c>
      <c r="BV128" s="27">
        <f>BW128</f>
        <v>1683700</v>
      </c>
      <c r="BW128" s="108">
        <f>BR128+BI128</f>
        <v>1683700</v>
      </c>
      <c r="BX128" s="128">
        <f>BW128/'RPI_1880-2010'!B127*100</f>
        <v>1960731.7953674698</v>
      </c>
      <c r="BY128" s="19" t="s">
        <v>238</v>
      </c>
    </row>
    <row r="129" spans="1:77" x14ac:dyDescent="0.25">
      <c r="A129" s="29">
        <v>2006</v>
      </c>
      <c r="BV129" s="115">
        <v>1794000</v>
      </c>
      <c r="BW129" s="114">
        <f t="shared" ref="BW129:BW136" si="96">BV129</f>
        <v>1794000</v>
      </c>
      <c r="BX129" s="128">
        <f>BW129/'RPI_1880-2010'!B128*100</f>
        <v>2024487.9535067426</v>
      </c>
      <c r="BY129" s="19" t="s">
        <v>239</v>
      </c>
    </row>
    <row r="130" spans="1:77" x14ac:dyDescent="0.25">
      <c r="A130" s="29">
        <v>2007</v>
      </c>
      <c r="BV130" s="27">
        <v>1925000</v>
      </c>
      <c r="BW130" s="114">
        <f t="shared" si="96"/>
        <v>1925000</v>
      </c>
      <c r="BX130" s="128">
        <f>BW130/'RPI_1880-2010'!B129*100</f>
        <v>2083017.7245871837</v>
      </c>
      <c r="BY130" s="10" t="s">
        <v>200</v>
      </c>
    </row>
    <row r="131" spans="1:77" x14ac:dyDescent="0.25">
      <c r="A131" s="29">
        <v>2008</v>
      </c>
      <c r="BV131" s="28">
        <v>2202000</v>
      </c>
      <c r="BW131" s="114">
        <f t="shared" si="96"/>
        <v>2202000</v>
      </c>
      <c r="BX131" s="128">
        <f>BW131/'RPI_1880-2010'!B130*100</f>
        <v>2291792.4273016802</v>
      </c>
      <c r="BY131" s="10" t="s">
        <v>201</v>
      </c>
    </row>
    <row r="132" spans="1:77" x14ac:dyDescent="0.25">
      <c r="A132" s="29">
        <v>2009</v>
      </c>
      <c r="BV132" s="115">
        <v>3112000</v>
      </c>
      <c r="BW132" s="114">
        <f t="shared" si="96"/>
        <v>3112000</v>
      </c>
      <c r="BX132" s="128">
        <f>BW132/'RPI_1880-2010'!B131*100</f>
        <v>3255604.7243929743</v>
      </c>
      <c r="BY132" s="35" t="s">
        <v>202</v>
      </c>
    </row>
    <row r="133" spans="1:77" x14ac:dyDescent="0.25">
      <c r="A133" s="29">
        <v>2010</v>
      </c>
      <c r="BV133" s="28">
        <v>2999000</v>
      </c>
      <c r="BW133" s="114">
        <f t="shared" si="96"/>
        <v>2999000</v>
      </c>
      <c r="BX133" s="128">
        <f>BW133/'RPI_1880-2010'!B132*100</f>
        <v>2999000</v>
      </c>
      <c r="BY133" s="35" t="s">
        <v>203</v>
      </c>
    </row>
    <row r="134" spans="1:77" x14ac:dyDescent="0.25">
      <c r="A134" s="29">
        <v>2011</v>
      </c>
      <c r="BV134" s="28">
        <v>2984000</v>
      </c>
      <c r="BW134" s="114">
        <f t="shared" si="96"/>
        <v>2984000</v>
      </c>
      <c r="BX134" s="128"/>
      <c r="BY134" s="10" t="s">
        <v>198</v>
      </c>
    </row>
    <row r="135" spans="1:77" x14ac:dyDescent="0.25">
      <c r="A135" s="29">
        <v>2012</v>
      </c>
      <c r="BV135" s="28">
        <v>2997000</v>
      </c>
      <c r="BW135" s="114">
        <f t="shared" si="96"/>
        <v>2997000</v>
      </c>
      <c r="BX135" s="128"/>
      <c r="BY135" s="10" t="s">
        <v>11</v>
      </c>
    </row>
    <row r="136" spans="1:77" x14ac:dyDescent="0.25">
      <c r="A136" s="29">
        <v>2013</v>
      </c>
      <c r="BV136" s="28">
        <v>5213000</v>
      </c>
      <c r="BW136" s="114">
        <f t="shared" si="96"/>
        <v>5213000</v>
      </c>
      <c r="BX136" s="128"/>
      <c r="BY136" s="10" t="s">
        <v>11</v>
      </c>
    </row>
    <row r="137" spans="1:77" x14ac:dyDescent="0.25">
      <c r="A137" s="29">
        <v>2014</v>
      </c>
      <c r="BY137" s="10"/>
    </row>
    <row r="138" spans="1:77" x14ac:dyDescent="0.25">
      <c r="A138" s="29">
        <v>2015</v>
      </c>
      <c r="BY138" s="10"/>
    </row>
  </sheetData>
  <mergeCells count="3">
    <mergeCell ref="BN127:BO127"/>
    <mergeCell ref="BN126:BO126"/>
    <mergeCell ref="BN125:BO125"/>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3" sqref="P3"/>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7"/>
  <sheetViews>
    <sheetView zoomScale="90" zoomScaleNormal="90" workbookViewId="0">
      <pane xSplit="1" ySplit="1" topLeftCell="B2" activePane="bottomRight" state="frozen"/>
      <selection pane="topRight" activeCell="B1" sqref="B1"/>
      <selection pane="bottomLeft" activeCell="A2" sqref="A2"/>
      <selection pane="bottomRight" activeCell="H103" sqref="H103"/>
    </sheetView>
  </sheetViews>
  <sheetFormatPr defaultRowHeight="15" x14ac:dyDescent="0.25"/>
  <cols>
    <col min="1" max="1" width="9.140625" style="29"/>
    <col min="2" max="3" width="14.42578125" customWidth="1"/>
    <col min="4" max="5" width="15.85546875" customWidth="1"/>
    <col min="6" max="6" width="16" customWidth="1"/>
    <col min="7" max="7" width="20.5703125" customWidth="1"/>
    <col min="8" max="8" width="14.5703125" customWidth="1"/>
    <col min="9" max="9" width="17" customWidth="1"/>
    <col min="10" max="10" width="10.85546875" customWidth="1"/>
    <col min="11" max="11" width="13.28515625" customWidth="1"/>
  </cols>
  <sheetData>
    <row r="1" spans="1:12" s="29" customFormat="1" ht="60" x14ac:dyDescent="0.25">
      <c r="A1" s="29" t="s">
        <v>0</v>
      </c>
      <c r="B1" s="71" t="s">
        <v>154</v>
      </c>
      <c r="C1" s="71" t="s">
        <v>156</v>
      </c>
      <c r="D1" s="71" t="s">
        <v>155</v>
      </c>
      <c r="E1" s="71" t="s">
        <v>157</v>
      </c>
      <c r="F1" s="29" t="s">
        <v>86</v>
      </c>
      <c r="G1" s="71" t="s">
        <v>150</v>
      </c>
      <c r="H1" s="71" t="s">
        <v>88</v>
      </c>
      <c r="I1" s="71" t="s">
        <v>87</v>
      </c>
      <c r="J1" s="71" t="s">
        <v>173</v>
      </c>
      <c r="K1" s="143" t="s">
        <v>227</v>
      </c>
    </row>
    <row r="2" spans="1:12" s="29" customFormat="1" x14ac:dyDescent="0.25">
      <c r="A2" s="29">
        <v>1880</v>
      </c>
      <c r="B2" s="38"/>
      <c r="C2" s="38"/>
      <c r="D2" s="38"/>
      <c r="E2" s="38"/>
      <c r="F2" s="38"/>
      <c r="G2" s="38"/>
      <c r="H2" s="38">
        <f>Income!AR2-Expenditure!BW3</f>
        <v>-1240.5125</v>
      </c>
      <c r="I2" s="38">
        <f>Income!AR2-Expenditure!BW3+Income!BI2</f>
        <v>-1240.5125</v>
      </c>
      <c r="J2" s="87">
        <f>H2/Income!AR2%</f>
        <v>-157.11142070101005</v>
      </c>
      <c r="K2" s="144">
        <f>Income!AR2/Expenditure!BW3%</f>
        <v>38.89364374688283</v>
      </c>
    </row>
    <row r="3" spans="1:12" s="29" customFormat="1" x14ac:dyDescent="0.25">
      <c r="A3" s="29">
        <v>1881</v>
      </c>
      <c r="B3" s="38"/>
      <c r="C3" s="38"/>
      <c r="D3" s="38"/>
      <c r="E3" s="38"/>
      <c r="F3" s="38"/>
      <c r="G3" s="38"/>
      <c r="H3" s="38">
        <f>Income!AR3-Expenditure!BW4</f>
        <v>-1288.4874999999997</v>
      </c>
      <c r="I3" s="38">
        <f>Income!AR3-Expenditure!BW4+Income!BI3</f>
        <v>-1288.4874999999997</v>
      </c>
      <c r="J3" s="87">
        <f>H3/Income!AR3%</f>
        <v>-137.46310455192031</v>
      </c>
      <c r="K3" s="144">
        <f>Income!AR3/Expenditure!BW4%</f>
        <v>42.111805195461606</v>
      </c>
    </row>
    <row r="4" spans="1:12" s="29" customFormat="1" x14ac:dyDescent="0.25">
      <c r="A4" s="29">
        <v>1882</v>
      </c>
      <c r="B4" s="38"/>
      <c r="C4" s="38"/>
      <c r="D4" s="38"/>
      <c r="E4" s="38"/>
      <c r="F4" s="38"/>
      <c r="G4" s="38"/>
      <c r="H4" s="38">
        <f>Income!AR4-Expenditure!BW5</f>
        <v>-1768.9999999999998</v>
      </c>
      <c r="I4" s="38">
        <f>Income!AR4-Expenditure!BW5+Income!BI4</f>
        <v>-1768.9999999999998</v>
      </c>
      <c r="J4" s="87">
        <f>H4/Income!AR4%</f>
        <v>-225.83218970414575</v>
      </c>
      <c r="K4" s="144">
        <f>Income!AR4/Expenditure!BW5%</f>
        <v>30.690644804247114</v>
      </c>
    </row>
    <row r="5" spans="1:12" s="29" customFormat="1" x14ac:dyDescent="0.25">
      <c r="A5" s="29">
        <v>1883</v>
      </c>
      <c r="B5" s="38"/>
      <c r="C5" s="38"/>
      <c r="D5" s="38"/>
      <c r="E5" s="38"/>
      <c r="F5" s="38"/>
      <c r="G5" s="38"/>
      <c r="H5" s="38">
        <f>Income!AR5-Expenditure!BW6</f>
        <v>-1635.9750000000004</v>
      </c>
      <c r="I5" s="38">
        <f>Income!AR5-Expenditure!BW6+Income!BI5</f>
        <v>-1635.9750000000004</v>
      </c>
      <c r="J5" s="87">
        <f>H5/Income!AR5%</f>
        <v>-188.38052834099395</v>
      </c>
      <c r="K5" s="144">
        <f>Income!AR5/Expenditure!BW6%</f>
        <v>34.676405017801883</v>
      </c>
    </row>
    <row r="6" spans="1:12" s="29" customFormat="1" x14ac:dyDescent="0.25">
      <c r="A6" s="29">
        <v>1884</v>
      </c>
      <c r="B6" s="38"/>
      <c r="C6" s="38"/>
      <c r="D6" s="38"/>
      <c r="E6" s="38"/>
      <c r="F6" s="38"/>
      <c r="G6" s="38"/>
      <c r="H6" s="38">
        <f>Income!AR6-Expenditure!BW7</f>
        <v>-1205.4958333333334</v>
      </c>
      <c r="I6" s="38">
        <f>Income!AR6-Expenditure!BW7+Income!BI6</f>
        <v>-1205.4958333333334</v>
      </c>
      <c r="J6" s="87">
        <f>H6/Income!AR6%</f>
        <v>-147.77005975790388</v>
      </c>
      <c r="K6" s="144">
        <f>Income!AR6/Expenditure!BW7%</f>
        <v>40.360001566658212</v>
      </c>
    </row>
    <row r="7" spans="1:12" s="29" customFormat="1" x14ac:dyDescent="0.25">
      <c r="A7" s="29">
        <v>1885</v>
      </c>
      <c r="B7" s="38"/>
      <c r="C7" s="38"/>
      <c r="D7" s="38"/>
      <c r="E7" s="38"/>
      <c r="F7" s="38"/>
      <c r="G7" s="38"/>
      <c r="H7" s="38">
        <f>Income!AR7-Expenditure!BW8</f>
        <v>-1529.5958333333333</v>
      </c>
      <c r="I7" s="38">
        <f>Income!AR7-Expenditure!BW8+Income!BI7</f>
        <v>-1529.5958333333333</v>
      </c>
      <c r="J7" s="87"/>
      <c r="K7" s="144">
        <f>Income!AR7/Expenditure!BW8%</f>
        <v>7.2658424820520073</v>
      </c>
      <c r="L7" s="131" t="s">
        <v>226</v>
      </c>
    </row>
    <row r="8" spans="1:12" s="29" customFormat="1" x14ac:dyDescent="0.25">
      <c r="A8" s="29">
        <v>1886</v>
      </c>
      <c r="B8" s="38"/>
      <c r="C8" s="38"/>
      <c r="D8" s="38"/>
      <c r="E8" s="38"/>
      <c r="F8" s="38"/>
      <c r="G8" s="38"/>
      <c r="H8" s="38">
        <f>Income!AR8-Expenditure!BW9</f>
        <v>-1571.9166666666667</v>
      </c>
      <c r="I8" s="38">
        <f>Income!AR8-Expenditure!BW9+Income!BI8</f>
        <v>-1571.9166666666667</v>
      </c>
      <c r="J8" s="87">
        <f>H8/Income!AR8%</f>
        <v>-129.02321159245818</v>
      </c>
      <c r="K8" s="144">
        <f>Income!AR8/Expenditure!BW9%</f>
        <v>43.663696489396813</v>
      </c>
    </row>
    <row r="9" spans="1:12" s="29" customFormat="1" x14ac:dyDescent="0.25">
      <c r="A9" s="29">
        <v>1887</v>
      </c>
      <c r="B9" s="38"/>
      <c r="C9" s="38"/>
      <c r="D9" s="38"/>
      <c r="E9" s="38"/>
      <c r="F9" s="38"/>
      <c r="G9" s="38"/>
      <c r="H9" s="38">
        <f>Income!AR9-Expenditure!BW10</f>
        <v>-1704.6541666666667</v>
      </c>
      <c r="I9" s="38">
        <f>Income!AR9-Expenditure!BW10+Income!BI9</f>
        <v>-1704.6541666666667</v>
      </c>
      <c r="J9" s="87">
        <f>H9/Income!AR9%</f>
        <v>-227.154715304961</v>
      </c>
      <c r="K9" s="144">
        <f>Income!AR9/Expenditure!BW10%</f>
        <v>30.566577622695693</v>
      </c>
    </row>
    <row r="10" spans="1:12" s="29" customFormat="1" x14ac:dyDescent="0.25">
      <c r="A10" s="29">
        <v>1888</v>
      </c>
      <c r="B10" s="38"/>
      <c r="C10" s="38"/>
      <c r="D10" s="38"/>
      <c r="E10" s="38"/>
      <c r="F10" s="38"/>
      <c r="G10" s="38"/>
      <c r="H10" s="38">
        <f>Income!AR10-Expenditure!BW11</f>
        <v>-1803.2875000000004</v>
      </c>
      <c r="I10" s="38">
        <f>Income!AR10-Expenditure!BW11+Income!BI10</f>
        <v>-1803.2875000000004</v>
      </c>
      <c r="J10" s="87">
        <f>H10/Income!AR10%</f>
        <v>-303.4198700197004</v>
      </c>
      <c r="K10" s="144">
        <f>Income!AR10/Expenditure!BW11%</f>
        <v>24.788070055923782</v>
      </c>
    </row>
    <row r="11" spans="1:12" s="29" customFormat="1" x14ac:dyDescent="0.25">
      <c r="A11" s="29">
        <v>1889</v>
      </c>
      <c r="B11" s="38"/>
      <c r="C11" s="38"/>
      <c r="D11" s="38"/>
      <c r="E11" s="38"/>
      <c r="F11" s="38"/>
      <c r="G11" s="38"/>
      <c r="H11" s="38">
        <f>Income!AR11-Expenditure!BW12</f>
        <v>-1123.2583333333334</v>
      </c>
      <c r="I11" s="38">
        <f>Income!AR11-Expenditure!BW12+Income!BI11</f>
        <v>-1123.2583333333334</v>
      </c>
      <c r="J11" s="87">
        <f>H11/Income!AR11%</f>
        <v>-165.77623633300126</v>
      </c>
      <c r="K11" s="144">
        <f>Income!AR11/Expenditure!BW12%</f>
        <v>37.625636279500227</v>
      </c>
    </row>
    <row r="12" spans="1:12" s="29" customFormat="1" x14ac:dyDescent="0.25">
      <c r="A12" s="29">
        <v>1890</v>
      </c>
      <c r="B12" s="38"/>
      <c r="C12" s="38"/>
      <c r="D12" s="38"/>
      <c r="E12" s="38"/>
      <c r="F12" s="38"/>
      <c r="G12" s="38"/>
      <c r="H12" s="38">
        <f>Income!AR12-Expenditure!BW13</f>
        <v>-1485.3833333333334</v>
      </c>
      <c r="I12" s="38">
        <f>Income!AR12-Expenditure!BW13+Income!BI12</f>
        <v>-1485.3833333333334</v>
      </c>
      <c r="J12" s="87">
        <f>H12/Income!AR12%</f>
        <v>-227.14888302685074</v>
      </c>
      <c r="K12" s="144">
        <f>Income!AR12/Expenditure!BW13%</f>
        <v>30.567122551291888</v>
      </c>
    </row>
    <row r="13" spans="1:12" s="29" customFormat="1" x14ac:dyDescent="0.25">
      <c r="A13" s="29">
        <v>1891</v>
      </c>
      <c r="B13" s="38"/>
      <c r="C13" s="38"/>
      <c r="D13" s="38"/>
      <c r="E13" s="38"/>
      <c r="F13" s="38"/>
      <c r="G13" s="38"/>
      <c r="H13" s="38">
        <f>Income!AR13-Expenditure!BW14</f>
        <v>-1740.4666666666667</v>
      </c>
      <c r="I13" s="38">
        <f>Income!AR13-Expenditure!BW14+Income!BI13</f>
        <v>-1740.4666666666667</v>
      </c>
      <c r="J13" s="87">
        <f>H13/Income!AR13%</f>
        <v>-307.63429615118355</v>
      </c>
      <c r="K13" s="144">
        <f>Income!AR13/Expenditure!BW14%</f>
        <v>24.531792575890616</v>
      </c>
    </row>
    <row r="14" spans="1:12" s="29" customFormat="1" x14ac:dyDescent="0.25">
      <c r="A14" s="29">
        <v>1892</v>
      </c>
      <c r="B14" s="38"/>
      <c r="C14" s="38"/>
      <c r="D14" s="38"/>
      <c r="E14" s="38"/>
      <c r="F14" s="38"/>
      <c r="G14" s="38"/>
      <c r="H14" s="38">
        <f>Income!AR14-Expenditure!BW15</f>
        <v>-1700.375</v>
      </c>
      <c r="I14" s="38">
        <f>Income!AR14-Expenditure!BW15+Income!BI14</f>
        <v>-1700.375</v>
      </c>
      <c r="J14" s="87">
        <f>H14/Income!AR14%</f>
        <v>-243.52096623085234</v>
      </c>
      <c r="K14" s="144">
        <f>Income!AR14/Expenditure!BW15%</f>
        <v>29.110304706350348</v>
      </c>
    </row>
    <row r="15" spans="1:12" s="29" customFormat="1" x14ac:dyDescent="0.25">
      <c r="A15" s="29">
        <v>1893</v>
      </c>
      <c r="B15" s="38"/>
      <c r="C15" s="38"/>
      <c r="D15" s="38"/>
      <c r="E15" s="38"/>
      <c r="F15" s="38"/>
      <c r="G15" s="38"/>
      <c r="H15" s="38">
        <f>Income!AR15-Expenditure!BW16</f>
        <v>-2694.0583333333334</v>
      </c>
      <c r="I15" s="38">
        <f>Income!AR15-Expenditure!BW16+Income!BI15</f>
        <v>-2694.0583333333334</v>
      </c>
      <c r="J15" s="87">
        <f>H15/Income!AR15%</f>
        <v>-414.91734688639053</v>
      </c>
      <c r="K15" s="144">
        <f>Income!AR15/Expenditure!BW16%</f>
        <v>19.420592567852186</v>
      </c>
    </row>
    <row r="16" spans="1:12" s="29" customFormat="1" x14ac:dyDescent="0.25">
      <c r="A16" s="29">
        <v>1894</v>
      </c>
      <c r="B16" s="38"/>
      <c r="C16" s="38"/>
      <c r="D16" s="38"/>
      <c r="E16" s="38"/>
      <c r="F16" s="38"/>
      <c r="G16" s="38"/>
      <c r="H16" s="38">
        <f>Income!AR16-Expenditure!BW17</f>
        <v>-3586.5541666666668</v>
      </c>
      <c r="I16" s="38">
        <f>Income!AR16-Expenditure!BW17+Income!BI16</f>
        <v>-3586.5541666666668</v>
      </c>
      <c r="J16" s="87">
        <f>H16/Income!AR16%</f>
        <v>-528.98703916519685</v>
      </c>
      <c r="K16" s="144">
        <f>Income!AR16/Expenditure!BW17%</f>
        <v>15.898578789909859</v>
      </c>
    </row>
    <row r="17" spans="1:11" s="29" customFormat="1" x14ac:dyDescent="0.25">
      <c r="A17" s="29">
        <v>1895</v>
      </c>
      <c r="B17" s="38"/>
      <c r="C17" s="38"/>
      <c r="D17" s="38"/>
      <c r="E17" s="38"/>
      <c r="F17" s="38"/>
      <c r="G17" s="38"/>
      <c r="H17" s="38">
        <f>Income!AR17-Expenditure!BW18</f>
        <v>-876.53333333333353</v>
      </c>
      <c r="I17" s="38">
        <f>Income!AR17-Expenditure!BW18+Income!BI17</f>
        <v>-876.53333333333353</v>
      </c>
      <c r="J17" s="87">
        <f>H17/Income!AR17%</f>
        <v>-79.683942985496387</v>
      </c>
      <c r="K17" s="144">
        <f>Income!AR17/Expenditure!BW18%</f>
        <v>55.653275600742873</v>
      </c>
    </row>
    <row r="18" spans="1:11" s="29" customFormat="1" x14ac:dyDescent="0.25">
      <c r="A18" s="29">
        <v>1896</v>
      </c>
      <c r="B18" s="38"/>
      <c r="C18" s="38"/>
      <c r="D18" s="38"/>
      <c r="E18" s="38"/>
      <c r="F18" s="38"/>
      <c r="G18" s="38"/>
      <c r="H18" s="38">
        <f>Income!AR18-Expenditure!BW19</f>
        <v>-1527.8291666666664</v>
      </c>
      <c r="I18" s="38">
        <f>Income!AR18-Expenditure!BW19+Income!BI18</f>
        <v>-1527.8291666666664</v>
      </c>
      <c r="J18" s="87">
        <f>H18/Income!AR18%</f>
        <v>-195.74482850660613</v>
      </c>
      <c r="K18" s="144">
        <f>Income!AR18/Expenditure!BW19%</f>
        <v>33.812932758608241</v>
      </c>
    </row>
    <row r="19" spans="1:11" s="29" customFormat="1" x14ac:dyDescent="0.25">
      <c r="A19" s="29">
        <v>1897</v>
      </c>
      <c r="B19" s="38"/>
      <c r="C19" s="38"/>
      <c r="D19" s="38"/>
      <c r="E19" s="38"/>
      <c r="F19" s="38"/>
      <c r="G19" s="38"/>
      <c r="H19" s="38">
        <f>Income!AR19-Expenditure!BW20</f>
        <v>-1370.6083333333333</v>
      </c>
      <c r="I19" s="38">
        <f>Income!AR19-Expenditure!BW20+Income!BI19</f>
        <v>-1370.6083333333333</v>
      </c>
      <c r="J19" s="87">
        <f>H19/Income!AR19%</f>
        <v>-181.74515036493122</v>
      </c>
      <c r="K19" s="144">
        <f>Income!AR19/Expenditure!BW20%</f>
        <v>35.493068778814724</v>
      </c>
    </row>
    <row r="20" spans="1:11" s="29" customFormat="1" x14ac:dyDescent="0.25">
      <c r="A20" s="29">
        <v>1898</v>
      </c>
      <c r="B20" s="38"/>
      <c r="C20" s="38"/>
      <c r="D20" s="38"/>
      <c r="E20" s="38"/>
      <c r="F20" s="38"/>
      <c r="G20" s="38"/>
      <c r="H20" s="38">
        <f>Income!AR20-Expenditure!BW21</f>
        <v>-2212.8791666666666</v>
      </c>
      <c r="I20" s="38">
        <f>Income!AR20-Expenditure!BW21+Income!BI20</f>
        <v>-2212.8791666666666</v>
      </c>
      <c r="J20" s="87">
        <f>H20/Income!AR20%</f>
        <v>-407.91025975821441</v>
      </c>
      <c r="K20" s="144">
        <f>Income!AR20/Expenditure!BW21%</f>
        <v>19.688517425815341</v>
      </c>
    </row>
    <row r="21" spans="1:11" s="29" customFormat="1" x14ac:dyDescent="0.25">
      <c r="A21" s="29">
        <v>1899</v>
      </c>
      <c r="B21" s="38">
        <f>Income!E21-Expenditure!U22</f>
        <v>0</v>
      </c>
      <c r="C21" s="38">
        <f>(0.9*Income!E21)-Expenditure!U22</f>
        <v>0</v>
      </c>
      <c r="D21" s="38">
        <f>Income!I21-Expenditure!AP22</f>
        <v>192.875</v>
      </c>
      <c r="E21" s="38">
        <f>(0.9*Income!I21)-Expenditure!AP22</f>
        <v>173.58750000000001</v>
      </c>
      <c r="F21" s="38">
        <f>Income!AA21-Expenditure!AU22</f>
        <v>0</v>
      </c>
      <c r="G21" s="38">
        <f>Income!BI21-Expenditure!BR22</f>
        <v>0</v>
      </c>
      <c r="H21" s="38"/>
      <c r="I21" s="38"/>
      <c r="J21" s="87"/>
      <c r="K21" s="144"/>
    </row>
    <row r="22" spans="1:11" s="29" customFormat="1" x14ac:dyDescent="0.25">
      <c r="A22" s="29">
        <v>1900</v>
      </c>
      <c r="B22" s="38">
        <f>Income!E22-Expenditure!U23</f>
        <v>576.25416666666672</v>
      </c>
      <c r="C22" s="38">
        <f>(0.9*Income!E22)-Expenditure!U23</f>
        <v>518.62875000000008</v>
      </c>
      <c r="D22" s="38">
        <f>Income!I22-Expenditure!AP23</f>
        <v>196.16666666666666</v>
      </c>
      <c r="E22" s="38">
        <f>(0.9*Income!I22)-Expenditure!AP23</f>
        <v>176.54999999999998</v>
      </c>
      <c r="F22" s="38">
        <f>Income!AA22-Expenditure!AU23</f>
        <v>-59.845833333333331</v>
      </c>
      <c r="G22" s="38">
        <f>Income!BI22-Expenditure!BR23</f>
        <v>488</v>
      </c>
      <c r="H22" s="38">
        <f>Income!AR22-Expenditure!BW23</f>
        <v>-1511.9083333333333</v>
      </c>
      <c r="I22" s="38">
        <f>Income!AR22-Expenditure!BW23+Income!BI22</f>
        <v>-1023.9083333333333</v>
      </c>
      <c r="J22" s="87">
        <f>H22/Income!AR22%</f>
        <v>-213.45592733775703</v>
      </c>
      <c r="K22" s="144">
        <f>Income!AR22/Expenditure!BW23%</f>
        <v>31.902411560476683</v>
      </c>
    </row>
    <row r="23" spans="1:11" s="29" customFormat="1" x14ac:dyDescent="0.25">
      <c r="A23" s="29">
        <v>1901</v>
      </c>
      <c r="B23" s="38">
        <f>Income!E23-Expenditure!U24</f>
        <v>527.04166666666663</v>
      </c>
      <c r="C23" s="38">
        <f>(0.9*Income!E23)-Expenditure!U24</f>
        <v>474.33749999999998</v>
      </c>
      <c r="D23" s="38">
        <f>Income!I23-Expenditure!AP24</f>
        <v>233.1</v>
      </c>
      <c r="E23" s="38">
        <f>(0.9*Income!I23)-Expenditure!AP24</f>
        <v>209.79</v>
      </c>
      <c r="F23" s="38">
        <f>Income!AA23-Expenditure!AU24</f>
        <v>0</v>
      </c>
      <c r="G23" s="38">
        <f>Income!BI23-Expenditure!BR24</f>
        <v>0</v>
      </c>
      <c r="H23" s="38">
        <f>Income!AR23-Expenditure!BW24</f>
        <v>-1899.6041666666665</v>
      </c>
      <c r="I23" s="38">
        <f>Income!AR23-Expenditure!BW24+Income!BI23</f>
        <v>-1899.6041666666665</v>
      </c>
      <c r="J23" s="87">
        <f>H23/Income!AR23%</f>
        <v>-236.44317439243221</v>
      </c>
      <c r="K23" s="144">
        <f>Income!AR23/Expenditure!BW24%</f>
        <v>29.722701368688949</v>
      </c>
    </row>
    <row r="24" spans="1:11" s="29" customFormat="1" x14ac:dyDescent="0.25">
      <c r="A24" s="29">
        <v>1902</v>
      </c>
      <c r="B24" s="38">
        <f>Income!E24-Expenditure!U25</f>
        <v>685.49166666666667</v>
      </c>
      <c r="C24" s="38">
        <f>(0.9*Income!E24)-Expenditure!U25</f>
        <v>616.9425</v>
      </c>
      <c r="D24" s="38">
        <f>Income!I24-Expenditure!AP25</f>
        <v>263.35416666666669</v>
      </c>
      <c r="E24" s="38">
        <f>(0.9*Income!I24)-Expenditure!AP25</f>
        <v>237.01875000000001</v>
      </c>
      <c r="F24" s="38">
        <f>Income!AA24-Expenditure!AU25</f>
        <v>0</v>
      </c>
      <c r="G24" s="38">
        <f>Income!BI24-Expenditure!BR25</f>
        <v>0</v>
      </c>
      <c r="H24" s="38">
        <f>Income!AR24-Expenditure!BW25</f>
        <v>-1424.425</v>
      </c>
      <c r="I24" s="38">
        <f>Income!AR24-Expenditure!BW25+Income!BI24</f>
        <v>-1424.425</v>
      </c>
      <c r="J24" s="87">
        <f>H24/Income!AR24%</f>
        <v>-140.74708408298372</v>
      </c>
      <c r="K24" s="144">
        <f>Income!AR24/Expenditure!BW25%</f>
        <v>41.53736705925408</v>
      </c>
    </row>
    <row r="25" spans="1:11" s="29" customFormat="1" x14ac:dyDescent="0.25">
      <c r="A25" s="29">
        <v>1903</v>
      </c>
      <c r="B25" s="38">
        <f>Income!E25-Expenditure!U26</f>
        <v>822.7166666666667</v>
      </c>
      <c r="C25" s="38">
        <f>(0.9*Income!E25)-Expenditure!U26</f>
        <v>740.44500000000005</v>
      </c>
      <c r="D25" s="38">
        <f>Income!I25-Expenditure!AP26</f>
        <v>224.01249999999999</v>
      </c>
      <c r="E25" s="38">
        <f>(0.9*Income!I25)-Expenditure!AP26</f>
        <v>201.61124999999998</v>
      </c>
      <c r="F25" s="38">
        <f>Income!AA25-Expenditure!AU26</f>
        <v>0</v>
      </c>
      <c r="G25" s="38">
        <f>Income!BI25-Expenditure!BR26</f>
        <v>0</v>
      </c>
      <c r="H25" s="38">
        <f>Income!AR25-Expenditure!BW26</f>
        <v>-1593.9958333333332</v>
      </c>
      <c r="I25" s="38">
        <f>Income!AR25-Expenditure!BW26+Income!BI25</f>
        <v>-1593.9958333333332</v>
      </c>
      <c r="J25" s="87">
        <f>H25/Income!AR25%</f>
        <v>-148.27810744919589</v>
      </c>
      <c r="K25" s="144">
        <f>Income!AR25/Expenditure!BW26%</f>
        <v>40.277413513175972</v>
      </c>
    </row>
    <row r="26" spans="1:11" s="29" customFormat="1" x14ac:dyDescent="0.25">
      <c r="A26" s="29">
        <v>1904</v>
      </c>
      <c r="B26" s="38">
        <f>Income!E26-Expenditure!U27</f>
        <v>548.125</v>
      </c>
      <c r="C26" s="38">
        <f>(0.9*Income!E26)-Expenditure!U27</f>
        <v>493.3125</v>
      </c>
      <c r="D26" s="38">
        <f>Income!I26-Expenditure!AP27</f>
        <v>289.65833333333336</v>
      </c>
      <c r="E26" s="38">
        <f>(0.9*Income!I26)-Expenditure!AP27</f>
        <v>260.69250000000005</v>
      </c>
      <c r="F26" s="38">
        <f>Income!AA26-Expenditure!AU27</f>
        <v>0</v>
      </c>
      <c r="G26" s="38">
        <f>Income!BI26-Expenditure!BR27</f>
        <v>0</v>
      </c>
      <c r="H26" s="38">
        <f>Income!AR26-Expenditure!BW27</f>
        <v>-1897.6499999999999</v>
      </c>
      <c r="I26" s="38">
        <f>Income!AR26-Expenditure!BW27+Income!BI26</f>
        <v>-1897.6499999999999</v>
      </c>
      <c r="J26" s="87">
        <f>H26/Income!AR26%</f>
        <v>-221.15951459469434</v>
      </c>
      <c r="K26" s="144">
        <f>Income!AR26/Expenditure!BW27%</f>
        <v>31.137174972443443</v>
      </c>
    </row>
    <row r="27" spans="1:11" s="29" customFormat="1" x14ac:dyDescent="0.25">
      <c r="A27" s="29">
        <v>1905</v>
      </c>
      <c r="B27" s="38">
        <f>Income!E27-Expenditure!U28</f>
        <v>438.24166666666667</v>
      </c>
      <c r="C27" s="38">
        <f>(0.9*Income!E27)-Expenditure!U28</f>
        <v>394.41750000000002</v>
      </c>
      <c r="D27" s="38">
        <f>Income!I27-Expenditure!AP28</f>
        <v>342.21666666666664</v>
      </c>
      <c r="E27" s="38">
        <f>(0.9*Income!I27)-Expenditure!AP28</f>
        <v>307.995</v>
      </c>
      <c r="F27" s="38">
        <f>Income!AA27-Expenditure!AU28</f>
        <v>0</v>
      </c>
      <c r="G27" s="38">
        <f>Income!BI27-Expenditure!BR28</f>
        <v>0</v>
      </c>
      <c r="H27" s="38">
        <f>Income!AR27-Expenditure!BW28</f>
        <v>-1405.8291666666669</v>
      </c>
      <c r="I27" s="38">
        <f>Income!AR27-Expenditure!BW28+Income!BI27</f>
        <v>-1405.8291666666669</v>
      </c>
      <c r="J27" s="87">
        <f>H27/Income!AR27%</f>
        <v>-171.68423034453986</v>
      </c>
      <c r="K27" s="144">
        <f>Income!AR27/Expenditure!BW28%</f>
        <v>36.807436292192484</v>
      </c>
    </row>
    <row r="28" spans="1:11" s="29" customFormat="1" x14ac:dyDescent="0.25">
      <c r="A28" s="29">
        <v>1906</v>
      </c>
      <c r="B28" s="38">
        <f>Income!E28-Expenditure!U29</f>
        <v>320.96666666666664</v>
      </c>
      <c r="C28" s="38">
        <f>(0.9*Income!E28)-Expenditure!U29</f>
        <v>288.87</v>
      </c>
      <c r="D28" s="38">
        <f>Income!I28-Expenditure!AP29</f>
        <v>540.69583333333333</v>
      </c>
      <c r="E28" s="38">
        <f>(0.9*Income!I28)-Expenditure!AP29</f>
        <v>486.62625000000003</v>
      </c>
      <c r="F28" s="38">
        <f>Income!AA28-Expenditure!AU29</f>
        <v>0</v>
      </c>
      <c r="G28" s="38">
        <f>Income!BI28-Expenditure!BR29</f>
        <v>0</v>
      </c>
      <c r="H28" s="38">
        <f>Income!AR28-Expenditure!BW29</f>
        <v>-2937.8625000000002</v>
      </c>
      <c r="I28" s="38">
        <f>Income!AR28-Expenditure!BW29+Income!BI28</f>
        <v>-2937.8625000000002</v>
      </c>
      <c r="J28" s="87">
        <f>H28/Income!AR28%</f>
        <v>-326.77863826592335</v>
      </c>
      <c r="K28" s="144">
        <f>Income!AR28/Expenditure!BW29%</f>
        <v>23.431350830097212</v>
      </c>
    </row>
    <row r="29" spans="1:11" s="29" customFormat="1" x14ac:dyDescent="0.25">
      <c r="A29" s="29">
        <v>1907</v>
      </c>
      <c r="B29" s="38">
        <f>Income!E29-Expenditure!U30</f>
        <v>491.9</v>
      </c>
      <c r="C29" s="38">
        <f>(0.9*Income!E29)-Expenditure!U30</f>
        <v>442.71</v>
      </c>
      <c r="D29" s="38">
        <f>Income!I29-Expenditure!AP30</f>
        <v>608.47916666666663</v>
      </c>
      <c r="E29" s="38">
        <f>(0.9*Income!I29)-Expenditure!AP30</f>
        <v>547.63125000000002</v>
      </c>
      <c r="F29" s="38">
        <f>Income!AA29-Expenditure!AU30</f>
        <v>0</v>
      </c>
      <c r="G29" s="38">
        <f>Income!BI29-Expenditure!BR30</f>
        <v>0</v>
      </c>
      <c r="H29" s="38">
        <f>Income!AR29-Expenditure!BW30</f>
        <v>-1282.0041666666666</v>
      </c>
      <c r="I29" s="38">
        <f>Income!AR29-Expenditure!BW30+Income!BI29</f>
        <v>-1282.0041666666666</v>
      </c>
      <c r="J29" s="87">
        <f>H29/Income!AR29%</f>
        <v>-109.33043852137175</v>
      </c>
      <c r="K29" s="144">
        <f>Income!AR29/Expenditure!BW30%</f>
        <v>47.771361253700533</v>
      </c>
    </row>
    <row r="30" spans="1:11" s="29" customFormat="1" x14ac:dyDescent="0.25">
      <c r="A30" s="29">
        <v>1908</v>
      </c>
      <c r="B30" s="38">
        <f>Income!E30-Expenditure!U31</f>
        <v>561.70416666666665</v>
      </c>
      <c r="C30" s="38">
        <f>(0.9*Income!E30)-Expenditure!U31</f>
        <v>505.53375</v>
      </c>
      <c r="D30" s="38">
        <f>Income!I30-Expenditure!AP31</f>
        <v>580.01666666666665</v>
      </c>
      <c r="E30" s="38">
        <f>(0.9*Income!I30)-Expenditure!AP31</f>
        <v>522.01499999999999</v>
      </c>
      <c r="F30" s="38">
        <f>Income!AA30-Expenditure!AU31</f>
        <v>0</v>
      </c>
      <c r="G30" s="38">
        <f>Income!BI30-Expenditure!BR31</f>
        <v>0</v>
      </c>
      <c r="H30" s="38">
        <f>Income!AR30-Expenditure!BW31</f>
        <v>-1879.6000000000001</v>
      </c>
      <c r="I30" s="38">
        <f>Income!AR30-Expenditure!BW31+Income!BI30</f>
        <v>-1879.6000000000001</v>
      </c>
      <c r="J30" s="87">
        <f>H30/Income!AR30%</f>
        <v>-158.41272628307553</v>
      </c>
      <c r="K30" s="144">
        <f>Income!AR30/Expenditure!BW31%</f>
        <v>38.697784524147636</v>
      </c>
    </row>
    <row r="31" spans="1:11" s="29" customFormat="1" x14ac:dyDescent="0.25">
      <c r="A31" s="29">
        <v>1909</v>
      </c>
      <c r="B31" s="38">
        <f>Income!E31-Expenditure!U32</f>
        <v>518.05416666666667</v>
      </c>
      <c r="C31" s="38">
        <f>(0.9*Income!E31)-Expenditure!U32</f>
        <v>466.24875000000003</v>
      </c>
      <c r="D31" s="38">
        <f>Income!I31-Expenditure!AP32</f>
        <v>425.75833333333333</v>
      </c>
      <c r="E31" s="38">
        <f>(0.9*Income!I31)-Expenditure!AP32</f>
        <v>383.1825</v>
      </c>
      <c r="F31" s="38">
        <f>Income!AA31-Expenditure!AU32</f>
        <v>0</v>
      </c>
      <c r="G31" s="38">
        <f>Income!BI31-Expenditure!BR32</f>
        <v>0</v>
      </c>
      <c r="H31" s="38">
        <f>Income!AR31-Expenditure!BW32</f>
        <v>-1148.0041666666664</v>
      </c>
      <c r="I31" s="38">
        <f>Income!AR31-Expenditure!BW32+Income!BI31</f>
        <v>-1148.0041666666664</v>
      </c>
      <c r="J31" s="87">
        <f>H31/Income!AR31%</f>
        <v>-117.32835382342043</v>
      </c>
      <c r="K31" s="144">
        <f>Income!AR31/Expenditure!BW32%</f>
        <v>46.013324189281867</v>
      </c>
    </row>
    <row r="32" spans="1:11" s="29" customFormat="1" x14ac:dyDescent="0.25">
      <c r="A32" s="29">
        <v>1910</v>
      </c>
      <c r="B32" s="38">
        <f>Income!E32-Expenditure!U33</f>
        <v>466.875</v>
      </c>
      <c r="C32" s="38">
        <f>(0.9*Income!E32)-Expenditure!U33</f>
        <v>420.1875</v>
      </c>
      <c r="D32" s="38">
        <f>Income!I32-Expenditure!AP33</f>
        <v>-1105.7458333333334</v>
      </c>
      <c r="E32" s="38">
        <f>(0.9*Income!I32)-Expenditure!AP33</f>
        <v>-1165.0308333333332</v>
      </c>
      <c r="F32" s="38">
        <f>Income!AA32-Expenditure!AU33</f>
        <v>-131.17500000000001</v>
      </c>
      <c r="G32" s="38">
        <f>Income!BI32-Expenditure!BR33</f>
        <v>774</v>
      </c>
      <c r="H32" s="38">
        <f>Income!AR32-Expenditure!BW33</f>
        <v>-1575.8</v>
      </c>
      <c r="I32" s="38">
        <f>Income!AR32-Expenditure!BW33+Income!BI32</f>
        <v>-801.8</v>
      </c>
      <c r="J32" s="87">
        <f>H32/Income!AR32%</f>
        <v>-159.59084464249545</v>
      </c>
      <c r="K32" s="144">
        <f>Income!AR32/Expenditure!BW33%</f>
        <v>38.522159800249689</v>
      </c>
    </row>
    <row r="33" spans="1:11" s="29" customFormat="1" x14ac:dyDescent="0.25">
      <c r="A33" s="29">
        <v>1911</v>
      </c>
      <c r="B33" s="38">
        <f>Income!E33-Expenditure!U34</f>
        <v>465.41250000000002</v>
      </c>
      <c r="C33" s="38">
        <f>(0.9*Income!E33)-Expenditure!U34</f>
        <v>418.87125000000003</v>
      </c>
      <c r="D33" s="38">
        <f>Income!I33-Expenditure!AP34</f>
        <v>529.94583333333333</v>
      </c>
      <c r="E33" s="38">
        <f>(0.9*Income!I33)-Expenditure!AP34</f>
        <v>476.95125000000002</v>
      </c>
      <c r="F33" s="38">
        <f>Income!AA33-Expenditure!AU34</f>
        <v>0</v>
      </c>
      <c r="G33" s="38">
        <f>Income!BI33-Expenditure!BR34</f>
        <v>0</v>
      </c>
      <c r="H33" s="38">
        <f>Income!AR33-Expenditure!BW34</f>
        <v>-1522.3083333333336</v>
      </c>
      <c r="I33" s="38">
        <f>Income!AR33-Expenditure!BW34+Income!BI33</f>
        <v>-1522.3083333333336</v>
      </c>
      <c r="J33" s="87">
        <f>H33/Income!AR33%</f>
        <v>-152.94073323677404</v>
      </c>
      <c r="K33" s="144">
        <f>Income!AR33/Expenditure!BW34%</f>
        <v>39.534952998808414</v>
      </c>
    </row>
    <row r="34" spans="1:11" s="29" customFormat="1" x14ac:dyDescent="0.25">
      <c r="A34" s="29">
        <v>1912</v>
      </c>
      <c r="B34" s="38">
        <f>Income!E34-Expenditure!U35</f>
        <v>386.71249999999998</v>
      </c>
      <c r="C34" s="38">
        <f>(0.9*Income!E34)-Expenditure!U35</f>
        <v>348.04124999999999</v>
      </c>
      <c r="D34" s="38">
        <f>Income!I34-Expenditure!AP35</f>
        <v>696.50833333333333</v>
      </c>
      <c r="E34" s="38">
        <f>(0.9*Income!I34)-Expenditure!AP35</f>
        <v>626.85749999999996</v>
      </c>
      <c r="F34" s="38">
        <f>Income!AA34-Expenditure!AU35</f>
        <v>0</v>
      </c>
      <c r="G34" s="38">
        <f>Income!BI34-Expenditure!BR35</f>
        <v>0</v>
      </c>
      <c r="H34" s="38">
        <f>Income!AR34-Expenditure!BW35</f>
        <v>-1430.4208333333336</v>
      </c>
      <c r="I34" s="38">
        <f>Income!AR34-Expenditure!BW35+Income!BI34</f>
        <v>-1430.4208333333336</v>
      </c>
      <c r="J34" s="87">
        <f>H34/Income!AR34%</f>
        <v>-132.05255930423544</v>
      </c>
      <c r="K34" s="144">
        <f>Income!AR34/Expenditure!BW35%</f>
        <v>43.093685456359793</v>
      </c>
    </row>
    <row r="35" spans="1:11" s="29" customFormat="1" x14ac:dyDescent="0.25">
      <c r="A35" s="29">
        <v>1913</v>
      </c>
      <c r="B35" s="38">
        <f>Income!E35-Expenditure!U36</f>
        <v>414.42083333333335</v>
      </c>
      <c r="C35" s="38">
        <f>(0.9*Income!E35)-Expenditure!U36</f>
        <v>372.97875000000005</v>
      </c>
      <c r="D35" s="38">
        <f>Income!I35-Expenditure!AP36</f>
        <v>841.54166666666663</v>
      </c>
      <c r="E35" s="38">
        <f>(0.9*Income!I35)-Expenditure!AP36</f>
        <v>757.38749999999993</v>
      </c>
      <c r="F35" s="38">
        <f>Income!AA35-Expenditure!AU36</f>
        <v>0</v>
      </c>
      <c r="G35" s="38">
        <f>Income!BI35-Expenditure!BR36</f>
        <v>0</v>
      </c>
      <c r="H35" s="38">
        <f>Income!AR35-Expenditure!BW36</f>
        <v>-1599.875</v>
      </c>
      <c r="I35" s="38">
        <f>Income!AR35-Expenditure!BW36+Income!BI35</f>
        <v>-1599.875</v>
      </c>
      <c r="J35" s="87">
        <f>H35/Income!AR35%</f>
        <v>-127.38238601869084</v>
      </c>
      <c r="K35" s="144">
        <f>Income!AR35/Expenditure!BW36%</f>
        <v>43.978780305251959</v>
      </c>
    </row>
    <row r="36" spans="1:11" s="29" customFormat="1" x14ac:dyDescent="0.25">
      <c r="A36" s="29">
        <v>1914</v>
      </c>
      <c r="B36" s="38">
        <f>Income!E36-Expenditure!U37</f>
        <v>502.79583333333335</v>
      </c>
      <c r="C36" s="38">
        <f>(0.9*Income!E36)-Expenditure!U37</f>
        <v>452.51625000000001</v>
      </c>
      <c r="D36" s="38">
        <f>Income!I36-Expenditure!AP37</f>
        <v>625.74166666666667</v>
      </c>
      <c r="E36" s="38">
        <f>(0.9*Income!I36)-Expenditure!AP37</f>
        <v>563.16750000000002</v>
      </c>
      <c r="F36" s="38">
        <f>Income!AA36-Expenditure!AU37</f>
        <v>0</v>
      </c>
      <c r="G36" s="38">
        <f>Income!BI36-Expenditure!BR37</f>
        <v>0</v>
      </c>
      <c r="H36" s="38">
        <f>Income!AR36-Expenditure!BW37</f>
        <v>-2008.9124999999999</v>
      </c>
      <c r="I36" s="38">
        <f>Income!AR36-Expenditure!BW37+Income!BI36</f>
        <v>-2008.9124999999999</v>
      </c>
      <c r="J36" s="87">
        <f>H36/Income!AR36%</f>
        <v>-178.01025663746222</v>
      </c>
      <c r="K36" s="144">
        <f>Income!AR36/Expenditure!BW37%</f>
        <v>35.969895934596565</v>
      </c>
    </row>
    <row r="37" spans="1:11" s="29" customFormat="1" x14ac:dyDescent="0.25">
      <c r="A37" s="29">
        <v>1915</v>
      </c>
      <c r="B37" s="38">
        <f>Income!E37-Expenditure!U38</f>
        <v>-615.20416666666665</v>
      </c>
      <c r="C37" s="38">
        <f>(0.9*Income!E37)-Expenditure!U38</f>
        <v>-673.20541666666668</v>
      </c>
      <c r="D37" s="38">
        <f>Income!I37-Expenditure!AP38</f>
        <v>-684.32499999999993</v>
      </c>
      <c r="E37" s="38">
        <f>(0.9*Income!I37)-Expenditure!AP38</f>
        <v>-722.94458333333318</v>
      </c>
      <c r="F37" s="38">
        <f>Income!AA37-Expenditure!AU38</f>
        <v>-41.683333333333337</v>
      </c>
      <c r="G37" s="38">
        <f>Income!BI37-Expenditure!BR38</f>
        <v>767</v>
      </c>
      <c r="H37" s="38">
        <f>Income!AR37-Expenditure!BW38</f>
        <v>-1439.575</v>
      </c>
      <c r="I37" s="38">
        <f>Income!AR37-Expenditure!BW38+Income!BI37</f>
        <v>-672.57500000000005</v>
      </c>
      <c r="J37" s="87">
        <f>H37/Income!AR37%</f>
        <v>-160.24656314354093</v>
      </c>
      <c r="K37" s="144">
        <f>Income!AR37/Expenditure!BW38%</f>
        <v>38.425099179828266</v>
      </c>
    </row>
    <row r="38" spans="1:11" s="29" customFormat="1" x14ac:dyDescent="0.25">
      <c r="A38" s="29">
        <v>1916</v>
      </c>
      <c r="B38" s="38">
        <f>Income!E38-Expenditure!U39</f>
        <v>504.95833333333331</v>
      </c>
      <c r="C38" s="38">
        <f>(0.9*Income!E38)-Expenditure!U39</f>
        <v>454.46249999999998</v>
      </c>
      <c r="D38" s="38">
        <f>Income!I38-Expenditure!AP39</f>
        <v>277.89583333333331</v>
      </c>
      <c r="E38" s="38">
        <f>(0.9*Income!I38)-Expenditure!AP39</f>
        <v>250.10624999999999</v>
      </c>
      <c r="F38" s="38">
        <f>Income!AA38-Expenditure!AU39</f>
        <v>0</v>
      </c>
      <c r="G38" s="38">
        <f>Income!BI38-Expenditure!BR39</f>
        <v>0</v>
      </c>
      <c r="H38" s="38">
        <f>Income!AR38-Expenditure!BW39</f>
        <v>-1597.4333333333334</v>
      </c>
      <c r="I38" s="38">
        <f>Income!AR38-Expenditure!BW39+Income!BI38</f>
        <v>-1597.4333333333334</v>
      </c>
      <c r="J38" s="87">
        <f>H38/Income!AR38%</f>
        <v>-204.05247890997154</v>
      </c>
      <c r="K38" s="144">
        <f>Income!AR38/Expenditure!BW39%</f>
        <v>32.889059269801088</v>
      </c>
    </row>
    <row r="39" spans="1:11" s="29" customFormat="1" x14ac:dyDescent="0.25">
      <c r="A39" s="29">
        <v>1917</v>
      </c>
      <c r="B39" s="38">
        <f>Income!E39-Expenditure!U40</f>
        <v>-319.97083333333336</v>
      </c>
      <c r="C39" s="38">
        <f>(0.9*Income!E39)-Expenditure!U40</f>
        <v>-350.55</v>
      </c>
      <c r="D39" s="38">
        <f>Income!I39-Expenditure!AP40</f>
        <v>-624.04166666666674</v>
      </c>
      <c r="E39" s="38">
        <f>(0.9*Income!I39)-Expenditure!AP40</f>
        <v>-669.36833333333334</v>
      </c>
      <c r="F39" s="38">
        <f>Income!AA39-Expenditure!AU40</f>
        <v>-79.454166666666666</v>
      </c>
      <c r="G39" s="38">
        <f>Income!BI39-Expenditure!BR40</f>
        <v>560</v>
      </c>
      <c r="H39" s="38">
        <f>Income!AR39-Expenditure!BW40</f>
        <v>-1112.2083333333335</v>
      </c>
      <c r="I39" s="38">
        <f>Income!AR39-Expenditure!BW40+Income!BI39</f>
        <v>-517.20833333333348</v>
      </c>
      <c r="J39" s="87">
        <f>H39/Income!AR39%</f>
        <v>-157.69667036888248</v>
      </c>
      <c r="K39" s="144">
        <f>Income!AR39/Expenditure!BW40%</f>
        <v>38.805313183462559</v>
      </c>
    </row>
    <row r="40" spans="1:11" s="29" customFormat="1" x14ac:dyDescent="0.25">
      <c r="A40" s="29">
        <v>1918</v>
      </c>
      <c r="B40" s="38">
        <f>Income!E40-Expenditure!U41</f>
        <v>210.57083333333333</v>
      </c>
      <c r="C40" s="38">
        <f>(0.9*Income!E40)-Expenditure!U41</f>
        <v>189.51374999999999</v>
      </c>
      <c r="D40" s="38">
        <f>Income!I40-Expenditure!AP41</f>
        <v>324.07916666666665</v>
      </c>
      <c r="E40" s="38">
        <f>(0.9*Income!I40)-Expenditure!AP41</f>
        <v>291.67124999999999</v>
      </c>
      <c r="F40" s="38">
        <f>Income!AA40-Expenditure!AU41</f>
        <v>0</v>
      </c>
      <c r="G40" s="38">
        <f>Income!BI40-Expenditure!BR41</f>
        <v>0</v>
      </c>
      <c r="H40" s="38">
        <f>Income!AR40-Expenditure!BW41</f>
        <v>-1229.0124999999998</v>
      </c>
      <c r="I40" s="38">
        <f>Income!AR40-Expenditure!BW41+Income!BI40</f>
        <v>-1229.0124999999998</v>
      </c>
      <c r="J40" s="87">
        <f>H40/Income!AR40%</f>
        <v>-229.87234639483771</v>
      </c>
      <c r="K40" s="144">
        <f>Income!AR40/Expenditure!BW41%</f>
        <v>30.314756933370191</v>
      </c>
    </row>
    <row r="41" spans="1:11" s="29" customFormat="1" x14ac:dyDescent="0.25">
      <c r="A41" s="29">
        <v>1919</v>
      </c>
      <c r="B41" s="38">
        <f>Income!E41-Expenditure!U42</f>
        <v>-639.09583333333319</v>
      </c>
      <c r="C41" s="38">
        <f>(0.9*Income!E41)-Expenditure!U42</f>
        <v>-694.67291666666654</v>
      </c>
      <c r="D41" s="38">
        <f>Income!I41-Expenditure!AP42</f>
        <v>-953.15000000000009</v>
      </c>
      <c r="E41" s="38">
        <f>(0.9*Income!I41)-Expenditure!AP42</f>
        <v>-1023.9050000000001</v>
      </c>
      <c r="F41" s="38">
        <f>Income!AA41-Expenditure!AU42</f>
        <v>-155.32083333333333</v>
      </c>
      <c r="G41" s="38">
        <f>Income!BI41-Expenditure!BR42</f>
        <v>407</v>
      </c>
      <c r="H41" s="38">
        <f>Income!AR41-Expenditure!BW42</f>
        <v>-1889.0541666666666</v>
      </c>
      <c r="I41" s="38">
        <f>Income!AR41-Expenditure!BW42+Income!BI41</f>
        <v>-1447.0541666666666</v>
      </c>
      <c r="J41" s="87">
        <f>H41/Income!AR41%</f>
        <v>-163.29527445613024</v>
      </c>
      <c r="K41" s="144">
        <f>Income!AR41/Expenditure!BW42%</f>
        <v>37.980172719226609</v>
      </c>
    </row>
    <row r="42" spans="1:11" x14ac:dyDescent="0.25">
      <c r="A42" s="29">
        <v>1920</v>
      </c>
      <c r="B42" s="38">
        <f>Income!E42-Expenditure!U43</f>
        <v>-2189.35</v>
      </c>
      <c r="C42" s="38">
        <f>(0.9*Income!E42)-Expenditure!U43</f>
        <v>-2277.665</v>
      </c>
      <c r="D42" s="38">
        <f>Income!I42-Expenditure!AP43</f>
        <v>-2274.5166666666664</v>
      </c>
      <c r="E42" s="38">
        <f>(0.9*Income!I42)-Expenditure!AP43</f>
        <v>-2331.9504166666666</v>
      </c>
      <c r="F42" s="38">
        <f>Income!AA42-Expenditure!AU43</f>
        <v>-177.68333333333334</v>
      </c>
      <c r="G42" s="38">
        <f>Income!BI42-Expenditure!BR43</f>
        <v>500</v>
      </c>
      <c r="H42" s="38">
        <f>Income!AR42-Expenditure!BW43</f>
        <v>-4782.9375</v>
      </c>
      <c r="I42" s="38">
        <f>Income!AR42-Expenditure!BW43+Income!BI42</f>
        <v>-4247.9375</v>
      </c>
      <c r="J42" s="87">
        <f>H42/Income!AR42%</f>
        <v>-354.00321959884542</v>
      </c>
      <c r="K42" s="144">
        <f>Income!AR42/Expenditure!BW43%</f>
        <v>22.026275515922421</v>
      </c>
    </row>
    <row r="43" spans="1:11" x14ac:dyDescent="0.25">
      <c r="A43" s="29">
        <v>1921</v>
      </c>
      <c r="B43" s="38">
        <f>Income!E43-Expenditure!U44</f>
        <v>-679.68333333333339</v>
      </c>
      <c r="C43" s="38">
        <f>(0.9*Income!E43)-Expenditure!U44</f>
        <v>-807.66958333333332</v>
      </c>
      <c r="D43" s="38">
        <f>Income!I43-Expenditure!AP44</f>
        <v>-2072.3833333333332</v>
      </c>
      <c r="E43" s="38">
        <f>(0.9*Income!I43)-Expenditure!AP44</f>
        <v>-2159.8975</v>
      </c>
      <c r="F43" s="38">
        <f>Income!AA43-Expenditure!AU44</f>
        <v>-174.67083333333332</v>
      </c>
      <c r="G43" s="38">
        <f>Income!BI43-Expenditure!BR44</f>
        <v>1113.9916666666668</v>
      </c>
      <c r="H43" s="38">
        <f>Income!AR43-Expenditure!BW44</f>
        <v>-3086.7208333333338</v>
      </c>
      <c r="I43" s="38">
        <f>Income!AR43-Expenditure!BW44+Income!BI43</f>
        <v>-1972.729166666667</v>
      </c>
      <c r="J43" s="87">
        <f>H43/Income!AR43%</f>
        <v>-154.72123306983013</v>
      </c>
      <c r="K43" s="144">
        <f>Income!AR43/Expenditure!BW44%</f>
        <v>39.258603923523594</v>
      </c>
    </row>
    <row r="44" spans="1:11" x14ac:dyDescent="0.25">
      <c r="A44" s="29">
        <v>1922</v>
      </c>
      <c r="B44" s="38">
        <f>Income!E44-Expenditure!U45</f>
        <v>-680.29166666666674</v>
      </c>
      <c r="C44" s="38">
        <f>(0.9*Income!E44)-Expenditure!U45</f>
        <v>-762.10125000000005</v>
      </c>
      <c r="D44" s="38">
        <f>Income!I44-Expenditure!AP45</f>
        <v>-2711.2166666666667</v>
      </c>
      <c r="E44" s="38">
        <f>(0.9*Income!I44)-Expenditure!AP45</f>
        <v>-2816.8454166666666</v>
      </c>
      <c r="F44" s="38">
        <f>Income!AA44-Expenditure!AU45</f>
        <v>0</v>
      </c>
      <c r="G44" s="38">
        <f>Income!BI44-Expenditure!BR45</f>
        <v>0</v>
      </c>
      <c r="H44" s="38">
        <f>Income!AR44-Expenditure!BW45</f>
        <v>-3539.1708333333336</v>
      </c>
      <c r="I44" s="38">
        <f>Income!AR44-Expenditure!BW45+Income!BI44</f>
        <v>-3539.1708333333336</v>
      </c>
      <c r="J44" s="87">
        <f>H44/Income!AR44%</f>
        <v>-204.96485390178404</v>
      </c>
      <c r="K44" s="144">
        <f>Income!AR44/Expenditure!BW45%</f>
        <v>32.790663816036215</v>
      </c>
    </row>
    <row r="45" spans="1:11" x14ac:dyDescent="0.25">
      <c r="A45" s="29">
        <v>1923</v>
      </c>
      <c r="B45" s="38">
        <f>Income!E45-Expenditure!U46</f>
        <v>-263.07499999999993</v>
      </c>
      <c r="C45" s="38">
        <f>(0.9*Income!E45)-Expenditure!U46</f>
        <v>-339.6724999999999</v>
      </c>
      <c r="D45" s="38">
        <f>Income!I45-Expenditure!AP46</f>
        <v>-3118.85</v>
      </c>
      <c r="E45" s="38">
        <f>(0.9*Income!I45)-Expenditure!AP46</f>
        <v>-3262.4658333333332</v>
      </c>
      <c r="F45" s="38">
        <f>Income!AA45-Expenditure!AU46</f>
        <v>-116.62499999999999</v>
      </c>
      <c r="G45" s="38">
        <f>Income!BI45-Expenditure!BR46</f>
        <v>587.70000000000005</v>
      </c>
      <c r="H45" s="38">
        <f>Income!AR45-Expenditure!BW46</f>
        <v>-3703.5583333333343</v>
      </c>
      <c r="I45" s="38">
        <f>Income!AR45-Expenditure!BW46+Income!BI45</f>
        <v>-3115.8583333333345</v>
      </c>
      <c r="J45" s="87">
        <f>H45/Income!AR45%</f>
        <v>-184.34987846257238</v>
      </c>
      <c r="K45" s="144">
        <f>Income!AR45/Expenditure!BW46%</f>
        <v>35.167941882261978</v>
      </c>
    </row>
    <row r="46" spans="1:11" x14ac:dyDescent="0.25">
      <c r="A46" s="29">
        <v>1924</v>
      </c>
      <c r="B46" s="38">
        <f>Income!E46-Expenditure!U47</f>
        <v>-575.39166666666665</v>
      </c>
      <c r="C46" s="38">
        <f>(0.9*Income!E46)-Expenditure!U47</f>
        <v>-686.21333333333325</v>
      </c>
      <c r="D46" s="38">
        <f>Income!I46-Expenditure!AP47</f>
        <v>-2685.1041666666665</v>
      </c>
      <c r="E46" s="38">
        <f>(0.9*Income!I46)-Expenditure!AP47</f>
        <v>-2846.6891666666666</v>
      </c>
      <c r="F46" s="38">
        <f>Income!AA46-Expenditure!AU47</f>
        <v>0</v>
      </c>
      <c r="G46" s="38">
        <f>Income!BI46-Expenditure!BR47</f>
        <v>0</v>
      </c>
      <c r="H46" s="38">
        <f>Income!AR46-Expenditure!BW47</f>
        <v>-3513.0791666666669</v>
      </c>
      <c r="I46" s="38">
        <f>Income!AR46-Expenditure!BW47+Income!BI46</f>
        <v>-3513.0791666666669</v>
      </c>
      <c r="J46" s="87">
        <f>H46/Income!AR46%</f>
        <v>-142.14456230738628</v>
      </c>
      <c r="K46" s="144">
        <f>Income!AR46/Expenditure!BW47%</f>
        <v>41.297644286166836</v>
      </c>
    </row>
    <row r="47" spans="1:11" x14ac:dyDescent="0.25">
      <c r="A47" s="29">
        <v>1925</v>
      </c>
      <c r="B47" s="38">
        <f>Income!E47-Expenditure!U48</f>
        <v>-24.941666666666606</v>
      </c>
      <c r="C47" s="38">
        <f>(0.9*Income!E47)-Expenditure!U48</f>
        <v>-159.41458333333321</v>
      </c>
      <c r="D47" s="38">
        <f>Income!I47-Expenditure!AP48</f>
        <v>-3815.6125000000002</v>
      </c>
      <c r="E47" s="38">
        <f>(0.9*Income!I47)-Expenditure!AP48</f>
        <v>-4052.2750000000001</v>
      </c>
      <c r="F47" s="38">
        <f>Income!AA47-Expenditure!AU48</f>
        <v>-140.5</v>
      </c>
      <c r="G47" s="38">
        <f>Income!BI47-Expenditure!BR48</f>
        <v>475.38333333333333</v>
      </c>
      <c r="H47" s="38">
        <f>Income!AR47-Expenditure!BW48</f>
        <v>-4332.7624999999989</v>
      </c>
      <c r="I47" s="38">
        <f>Income!AR47-Expenditure!BW48+Income!BI47</f>
        <v>-3857.3791666666657</v>
      </c>
      <c r="J47" s="87">
        <f>H47/Income!AR47%</f>
        <v>-128.66454589660682</v>
      </c>
      <c r="K47" s="144">
        <f>Income!AR47/Expenditure!BW48%</f>
        <v>43.732184019999359</v>
      </c>
    </row>
    <row r="48" spans="1:11" x14ac:dyDescent="0.25">
      <c r="A48" s="29">
        <v>1926</v>
      </c>
      <c r="B48" s="38">
        <f>Income!E48-Expenditure!U49</f>
        <v>-951.95833333333348</v>
      </c>
      <c r="C48" s="38">
        <f>(0.9*Income!E48)-Expenditure!U49</f>
        <v>-1084.4837500000001</v>
      </c>
      <c r="D48" s="38">
        <f>Income!I48-Expenditure!AP49</f>
        <v>-3524.4916666666668</v>
      </c>
      <c r="E48" s="38">
        <f>(0.9*Income!I48)-Expenditure!AP49</f>
        <v>-3791.6725000000001</v>
      </c>
      <c r="F48" s="38">
        <f>Income!AA48-Expenditure!AU49</f>
        <v>0</v>
      </c>
      <c r="G48" s="38">
        <f>Income!BI48-Expenditure!BR49</f>
        <v>1350</v>
      </c>
      <c r="H48" s="38">
        <f>Income!AR48-Expenditure!BW49</f>
        <v>-4866.1125000000011</v>
      </c>
      <c r="I48" s="38">
        <f>Income!AR48-Expenditure!BW49+Income!BI48</f>
        <v>-3516.1125000000011</v>
      </c>
      <c r="J48" s="87">
        <f>H48/Income!AR48%</f>
        <v>-134.89251261296229</v>
      </c>
      <c r="K48" s="144">
        <f>Income!AR48/Expenditure!BW49%</f>
        <v>42.572663933640257</v>
      </c>
    </row>
    <row r="49" spans="1:11" x14ac:dyDescent="0.25">
      <c r="A49" s="29">
        <v>1927</v>
      </c>
      <c r="B49" s="38">
        <f>Income!E49-Expenditure!U50</f>
        <v>-782.41666666666652</v>
      </c>
      <c r="C49" s="38">
        <f>(0.9*Income!E49)-Expenditure!U50</f>
        <v>-891.00374999999985</v>
      </c>
      <c r="D49" s="38">
        <f>Income!I49-Expenditure!AP50</f>
        <v>-3950.25</v>
      </c>
      <c r="E49" s="38">
        <f>(0.9*Income!I49)-Expenditure!AP50</f>
        <v>-4237.8508333333339</v>
      </c>
      <c r="F49" s="38">
        <f>Income!AA49-Expenditure!AU50</f>
        <v>-138.19166666666666</v>
      </c>
      <c r="G49" s="38">
        <f>Income!BI49-Expenditure!BR50</f>
        <v>2208.8666666666668</v>
      </c>
      <c r="H49" s="38">
        <f>Income!AR49-Expenditure!BW50</f>
        <v>-5244.9041666666662</v>
      </c>
      <c r="I49" s="38">
        <f>Income!AR49-Expenditure!BW50+Income!BI49</f>
        <v>-3036.0374999999995</v>
      </c>
      <c r="J49" s="87">
        <f>H49/Income!AR49%</f>
        <v>-145.83998554086213</v>
      </c>
      <c r="K49" s="144">
        <f>Income!AR49/Expenditure!BW50%</f>
        <v>40.676865392744894</v>
      </c>
    </row>
    <row r="50" spans="1:11" x14ac:dyDescent="0.25">
      <c r="A50" s="29">
        <v>1928</v>
      </c>
      <c r="B50" s="38">
        <f>Income!E50-Expenditure!U51</f>
        <v>-810.14999999999986</v>
      </c>
      <c r="C50" s="38">
        <f>(0.9*Income!E50)-Expenditure!U51</f>
        <v>-940.16124999999988</v>
      </c>
      <c r="D50" s="38">
        <f>Income!I50-Expenditure!AP51</f>
        <v>-3798.5833333333335</v>
      </c>
      <c r="E50" s="38">
        <f>(0.9*Income!I50)-Expenditure!AP51</f>
        <v>-4122.3991666666661</v>
      </c>
      <c r="F50" s="38">
        <f>Income!AA50-Expenditure!AU51</f>
        <v>0</v>
      </c>
      <c r="G50" s="38">
        <f>Income!BI50-Expenditure!BR51</f>
        <v>1805</v>
      </c>
      <c r="H50" s="38">
        <f>Income!AR50-Expenditure!BW51</f>
        <v>-5031.2416666666659</v>
      </c>
      <c r="I50" s="38">
        <f>Income!AR50-Expenditure!BW51+Income!BI50</f>
        <v>-3226.2416666666659</v>
      </c>
      <c r="J50" s="87">
        <f>H50/Income!AR50%</f>
        <v>-122.24324573312154</v>
      </c>
      <c r="K50" s="144">
        <f>Income!AR50/Expenditure!BW51%</f>
        <v>44.995743141766361</v>
      </c>
    </row>
    <row r="51" spans="1:11" x14ac:dyDescent="0.25">
      <c r="A51" s="29">
        <v>1929</v>
      </c>
      <c r="B51" s="38">
        <f>Income!E51-Expenditure!U52</f>
        <v>-602.88333333333344</v>
      </c>
      <c r="C51" s="38">
        <f>(0.9*Income!E51)-Expenditure!U52</f>
        <v>-716.12125000000003</v>
      </c>
      <c r="D51" s="38">
        <f>Income!I51-Expenditure!AP52</f>
        <v>-4256.8083333333334</v>
      </c>
      <c r="E51" s="38">
        <f>(0.9*Income!I51)-Expenditure!AP52</f>
        <v>-4666.564166666667</v>
      </c>
      <c r="F51" s="38">
        <f>Income!AA51-Expenditure!AU52</f>
        <v>0</v>
      </c>
      <c r="G51" s="38">
        <f>Income!BI51-Expenditure!BR52</f>
        <v>2464.0416666666665</v>
      </c>
      <c r="H51" s="38">
        <f>Income!AR51-Expenditure!BW52</f>
        <v>-5356.7250000000004</v>
      </c>
      <c r="I51" s="38">
        <f>Income!AR51-Expenditure!BW52+Income!BI51</f>
        <v>-2892.6833333333338</v>
      </c>
      <c r="J51" s="87">
        <f>H51/Income!AR51%</f>
        <v>-113.18050844398743</v>
      </c>
      <c r="K51" s="144">
        <f>Income!AR51/Expenditure!BW52%</f>
        <v>46.908603760214184</v>
      </c>
    </row>
    <row r="52" spans="1:11" x14ac:dyDescent="0.25">
      <c r="A52" s="29">
        <v>1930</v>
      </c>
      <c r="B52" s="38">
        <f>Income!E52-Expenditure!U53</f>
        <v>-664.45833333333326</v>
      </c>
      <c r="C52" s="38">
        <f>(0.9*Income!E52)-Expenditure!U53</f>
        <v>-824.56333333333328</v>
      </c>
      <c r="D52" s="38">
        <f>Income!I52-Expenditure!AP53</f>
        <v>-3086.9416666666671</v>
      </c>
      <c r="E52" s="38">
        <f>(0.9*Income!I52)-Expenditure!AP53</f>
        <v>-3480.1950000000002</v>
      </c>
      <c r="F52" s="38">
        <f>Income!AA52-Expenditure!AU53</f>
        <v>-120.14583333333333</v>
      </c>
      <c r="G52" s="38">
        <f>Income!BI52-Expenditure!BR53</f>
        <v>1940</v>
      </c>
      <c r="H52" s="38">
        <f>Income!AR52-Expenditure!BW53</f>
        <v>-4402.3166666666657</v>
      </c>
      <c r="I52" s="38">
        <f>Income!AR52-Expenditure!BW53+Income!BI52</f>
        <v>-2462.3166666666657</v>
      </c>
      <c r="J52" s="87">
        <f>H52/Income!AR52%</f>
        <v>-87.996835113581923</v>
      </c>
      <c r="K52" s="144">
        <f>Income!AR52/Expenditure!BW53%</f>
        <v>53.192384829022821</v>
      </c>
    </row>
    <row r="53" spans="1:11" x14ac:dyDescent="0.25">
      <c r="A53" s="29">
        <v>1931</v>
      </c>
      <c r="B53" s="38">
        <f>Income!E53-Expenditure!U54</f>
        <v>-101.6583333333333</v>
      </c>
      <c r="C53" s="38">
        <f>(0.9*Income!E53)-Expenditure!U54</f>
        <v>-307.83749999999986</v>
      </c>
      <c r="D53" s="38">
        <f>Income!I53-Expenditure!AP54</f>
        <v>-2493.416666666667</v>
      </c>
      <c r="E53" s="38">
        <f>(0.9*Income!I53)-Expenditure!AP54</f>
        <v>-3003.7162500000004</v>
      </c>
      <c r="F53" s="38">
        <f>Income!AA53-Expenditure!AU54</f>
        <v>0</v>
      </c>
      <c r="G53" s="38">
        <f>Income!BI53-Expenditure!BR54</f>
        <v>2711.3208333333332</v>
      </c>
      <c r="H53" s="38">
        <f>Income!AR53-Expenditure!BW54</f>
        <v>-3297.3541666666661</v>
      </c>
      <c r="I53" s="38">
        <f>Income!AR53-Expenditure!BW54+Income!BI53</f>
        <v>-586.03333333333285</v>
      </c>
      <c r="J53" s="87">
        <f>H53/Income!AR53%</f>
        <v>-51.022822665605837</v>
      </c>
      <c r="K53" s="144">
        <f>Income!AR53/Expenditure!BW54%</f>
        <v>66.215157573514318</v>
      </c>
    </row>
    <row r="54" spans="1:11" x14ac:dyDescent="0.25">
      <c r="A54" s="29">
        <v>1932</v>
      </c>
      <c r="B54" s="38">
        <f>Income!E54-Expenditure!U55</f>
        <v>53.991666666666788</v>
      </c>
      <c r="C54" s="38">
        <f>(0.9*Income!E54)-Expenditure!U55</f>
        <v>-135.28791666666643</v>
      </c>
      <c r="D54" s="38">
        <f>Income!I54-Expenditure!AP55</f>
        <v>-2513.0583333333334</v>
      </c>
      <c r="E54" s="38">
        <f>(0.9*Income!I54)-Expenditure!AP55</f>
        <v>-3019.335</v>
      </c>
      <c r="F54" s="38">
        <f>Income!AA54-Expenditure!AU55</f>
        <v>-119.59166666666667</v>
      </c>
      <c r="G54" s="38">
        <f>Income!BI54-Expenditure!BR55</f>
        <v>2318.9625000000001</v>
      </c>
      <c r="H54" s="38">
        <f>Income!AR54-Expenditure!BW55</f>
        <v>-3268.9999999999991</v>
      </c>
      <c r="I54" s="38">
        <f>Income!AR54-Expenditure!BW55+Income!BI54</f>
        <v>-950.037499999999</v>
      </c>
      <c r="J54" s="87">
        <f>H54/Income!AR54%</f>
        <v>-52.118839137490852</v>
      </c>
      <c r="K54" s="144">
        <f>Income!AR54/Expenditure!BW55%</f>
        <v>65.738077260513506</v>
      </c>
    </row>
    <row r="55" spans="1:11" x14ac:dyDescent="0.25">
      <c r="A55" s="29">
        <v>1933</v>
      </c>
      <c r="B55" s="38">
        <f>Income!E55-Expenditure!U56</f>
        <v>-236.40000000000009</v>
      </c>
      <c r="C55" s="38">
        <f>(0.9*Income!E55)-Expenditure!U56</f>
        <v>-444.83041666666668</v>
      </c>
      <c r="D55" s="38">
        <f>Income!I55-Expenditure!AP56</f>
        <v>-2406.1291666666666</v>
      </c>
      <c r="E55" s="38">
        <f>(0.9*Income!I55)-Expenditure!AP56</f>
        <v>-2918.6395833333336</v>
      </c>
      <c r="F55" s="38">
        <f>Income!AA55-Expenditure!AU56</f>
        <v>0</v>
      </c>
      <c r="G55" s="38">
        <f>Income!BI55-Expenditure!BR56</f>
        <v>2252.6166666666668</v>
      </c>
      <c r="H55" s="38">
        <f>Income!AR55-Expenditure!BW56</f>
        <v>-3349.3208333333332</v>
      </c>
      <c r="I55" s="38">
        <f>Income!AR55-Expenditure!BW56+Income!BI55</f>
        <v>-1096.7041666666664</v>
      </c>
      <c r="J55" s="87">
        <f>H55/Income!AR55%</f>
        <v>-51.507277839433868</v>
      </c>
      <c r="K55" s="144">
        <f>Income!AR55/Expenditure!BW56%</f>
        <v>66.003429951384348</v>
      </c>
    </row>
    <row r="56" spans="1:11" x14ac:dyDescent="0.25">
      <c r="A56" s="29">
        <v>1934</v>
      </c>
      <c r="B56" s="38">
        <f>Income!E56-Expenditure!U57</f>
        <v>-461.54583333333358</v>
      </c>
      <c r="C56" s="38">
        <f>(0.9*Income!E56)-Expenditure!U57</f>
        <v>-712.8404166666669</v>
      </c>
      <c r="D56" s="38">
        <f>Income!I56-Expenditure!AP57</f>
        <v>-774.25416666666661</v>
      </c>
      <c r="E56" s="38">
        <f>(0.9*Income!I56)-Expenditure!AP57</f>
        <v>-1404.1187499999996</v>
      </c>
      <c r="F56" s="38">
        <f>Income!AA56-Expenditure!AU57</f>
        <v>-270.55416666666662</v>
      </c>
      <c r="G56" s="38">
        <f>Income!BI56-Expenditure!BR57</f>
        <v>2462.7208333333333</v>
      </c>
      <c r="H56" s="38">
        <f>Income!AR56-Expenditure!BW57</f>
        <v>-2363.2458333333334</v>
      </c>
      <c r="I56" s="38">
        <f>Income!AR56-Expenditure!BW57+Income!BI56</f>
        <v>99.474999999999909</v>
      </c>
      <c r="J56" s="87">
        <f>H56/Income!AR56%</f>
        <v>-29.678112418908047</v>
      </c>
      <c r="K56" s="144">
        <f>Income!AR56/Expenditure!BW57%</f>
        <v>77.114015722995092</v>
      </c>
    </row>
    <row r="57" spans="1:11" x14ac:dyDescent="0.25">
      <c r="A57" s="29">
        <v>1935</v>
      </c>
      <c r="B57" s="38">
        <f>Income!E57-Expenditure!U58</f>
        <v>-163.33333333333303</v>
      </c>
      <c r="C57" s="38">
        <f>(0.9*Income!E57)-Expenditure!U58</f>
        <v>-460.46958333333305</v>
      </c>
      <c r="D57" s="38">
        <f>Income!I57-Expenditure!AP58</f>
        <v>-2302.8208333333341</v>
      </c>
      <c r="E57" s="38">
        <f>(0.9*Income!I57)-Expenditure!AP58</f>
        <v>-2917.0579166666676</v>
      </c>
      <c r="F57" s="38">
        <f>Income!AA57-Expenditure!AU58</f>
        <v>-445.24166666666667</v>
      </c>
      <c r="G57" s="38">
        <f>Income!BI57-Expenditure!BR58</f>
        <v>2226.7958333333336</v>
      </c>
      <c r="H57" s="38">
        <f>Income!AR57-Expenditure!BW58</f>
        <v>-3803.0666666666675</v>
      </c>
      <c r="I57" s="38">
        <f>Income!AR57-Expenditure!BW58+Income!BI57</f>
        <v>-1576.2708333333339</v>
      </c>
      <c r="J57" s="87">
        <f>H57/Income!AR57%</f>
        <v>-46.22096364907889</v>
      </c>
      <c r="K57" s="144">
        <f>Income!AR57/Expenditure!BW58%</f>
        <v>68.389646398442366</v>
      </c>
    </row>
    <row r="58" spans="1:11" x14ac:dyDescent="0.25">
      <c r="A58" s="29">
        <v>1936</v>
      </c>
      <c r="B58" s="38">
        <f>Income!E58-Expenditure!U59</f>
        <v>-357.05416666666679</v>
      </c>
      <c r="C58" s="38">
        <f>(0.9*Income!E58)-Expenditure!U59</f>
        <v>-561.63499999999999</v>
      </c>
      <c r="D58" s="38">
        <f>Income!I58-Expenditure!AP59</f>
        <v>-1104.0708333333332</v>
      </c>
      <c r="E58" s="38">
        <f>(0.9*Income!I58)-Expenditure!AP59</f>
        <v>-1805.1133333333328</v>
      </c>
      <c r="F58" s="38">
        <f>Income!AA58-Expenditure!AU59</f>
        <v>-465.875</v>
      </c>
      <c r="G58" s="38">
        <f>Income!BI58-Expenditure!BR59</f>
        <v>1162.7041666666669</v>
      </c>
      <c r="H58" s="38">
        <f>Income!AR58-Expenditure!BW59</f>
        <v>-3397.3166666666648</v>
      </c>
      <c r="I58" s="38">
        <f>Income!AR58-Expenditure!BW59+Income!BI58</f>
        <v>-1645.4291666666647</v>
      </c>
      <c r="J58" s="87">
        <f>H58/Income!AR58%</f>
        <v>-41.535500658674259</v>
      </c>
      <c r="K58" s="144">
        <f>Income!AR58/Expenditure!BW59%</f>
        <v>70.653651935113515</v>
      </c>
    </row>
    <row r="59" spans="1:11" x14ac:dyDescent="0.25">
      <c r="A59" s="29">
        <v>1937</v>
      </c>
      <c r="B59" s="38">
        <f>Income!E59-Expenditure!U60</f>
        <v>-297.62916666666683</v>
      </c>
      <c r="C59" s="38">
        <f>(0.9*Income!E59)-Expenditure!U60</f>
        <v>-485.20583333333343</v>
      </c>
      <c r="D59" s="38">
        <f>Income!I59-Expenditure!AP60</f>
        <v>-1000.9291666666668</v>
      </c>
      <c r="E59" s="38">
        <f>(0.9*Income!I59)-Expenditure!AP60</f>
        <v>-1689.8095833333336</v>
      </c>
      <c r="F59" s="38">
        <f>Income!AA59-Expenditure!AU60</f>
        <v>-266.17083333333335</v>
      </c>
      <c r="G59" s="38">
        <f>Income!BI59-Expenditure!BR60</f>
        <v>850.65416666666658</v>
      </c>
      <c r="H59" s="38">
        <f>Income!AR59-Expenditure!BW60</f>
        <v>-3317.5000000000009</v>
      </c>
      <c r="I59" s="38">
        <f>Income!AR59-Expenditure!BW60+Income!BI59</f>
        <v>-1568.9291666666677</v>
      </c>
      <c r="J59" s="87">
        <f>H59/Income!AR59%</f>
        <v>-41.942083892596251</v>
      </c>
      <c r="K59" s="144">
        <f>Income!AR59/Expenditure!BW60%</f>
        <v>70.451269459780022</v>
      </c>
    </row>
    <row r="60" spans="1:11" x14ac:dyDescent="0.25">
      <c r="A60" s="29">
        <v>1938</v>
      </c>
      <c r="B60" s="38">
        <f>Income!E60-Expenditure!U61</f>
        <v>-406.32083333333321</v>
      </c>
      <c r="C60" s="38">
        <f>(0.9*Income!E60)-Expenditure!U61</f>
        <v>-523.85499999999979</v>
      </c>
      <c r="D60" s="38">
        <f>Income!I60-Expenditure!AP61</f>
        <v>991.22916666666697</v>
      </c>
      <c r="E60" s="38">
        <f>(0.9*Income!I60)-Expenditure!AP61</f>
        <v>173.74333333333379</v>
      </c>
      <c r="F60" s="38">
        <f>Income!AA60-Expenditure!AU61</f>
        <v>-498.16666666666669</v>
      </c>
      <c r="G60" s="38">
        <f>Income!BI60-Expenditure!BR61</f>
        <v>661.14166666666665</v>
      </c>
      <c r="H60" s="38">
        <f>Income!AR60-Expenditure!BW61</f>
        <v>-1993.8999999999996</v>
      </c>
      <c r="I60" s="38">
        <f>Income!AR60-Expenditure!BW61+Income!BI60</f>
        <v>-110.64583333333303</v>
      </c>
      <c r="J60" s="87">
        <f>H60/Income!AR60%</f>
        <v>-23.480655799481941</v>
      </c>
      <c r="K60" s="144">
        <f>Income!AR60/Expenditure!BW61%</f>
        <v>80.984344756306001</v>
      </c>
    </row>
    <row r="61" spans="1:11" x14ac:dyDescent="0.25">
      <c r="A61" s="29">
        <v>1939</v>
      </c>
      <c r="B61" s="38">
        <f>Income!E61-Expenditure!U62</f>
        <v>-371.67083333333335</v>
      </c>
      <c r="C61" s="38">
        <f>(0.9*Income!E61)-Expenditure!U62</f>
        <v>-561.93458333333342</v>
      </c>
      <c r="D61" s="38">
        <f>Income!I61-Expenditure!AP62</f>
        <v>365.13749999999982</v>
      </c>
      <c r="E61" s="38">
        <f>(0.9*Income!I61)-Expenditure!AP62</f>
        <v>-159.33708333333379</v>
      </c>
      <c r="F61" s="38">
        <f>Income!AA61-Expenditure!AU62</f>
        <v>-481.22916666666669</v>
      </c>
      <c r="G61" s="38">
        <f>Income!BI61-Expenditure!BR62</f>
        <v>-76.570833333333212</v>
      </c>
      <c r="H61" s="38">
        <f>Income!AR61-Expenditure!BW62</f>
        <v>-2267.4958333333334</v>
      </c>
      <c r="I61" s="38">
        <f>Income!AR61-Expenditure!BW62+Income!BI61</f>
        <v>-1268.9541666666667</v>
      </c>
      <c r="J61" s="87">
        <f>H61/Income!AR61%</f>
        <v>-35.194465624541238</v>
      </c>
      <c r="K61" s="144">
        <f>Income!AR61/Expenditure!BW62%</f>
        <v>73.967524882059564</v>
      </c>
    </row>
    <row r="62" spans="1:11" x14ac:dyDescent="0.25">
      <c r="A62" s="29">
        <v>1940</v>
      </c>
      <c r="B62" s="38">
        <f>Income!E62-Expenditure!U63</f>
        <v>-229.08750000000009</v>
      </c>
      <c r="C62" s="38">
        <f>(0.9*Income!E62)-Expenditure!U63</f>
        <v>-335.70000000000005</v>
      </c>
      <c r="D62" s="38">
        <f>Income!I62-Expenditure!AP63</f>
        <v>302.22916666666606</v>
      </c>
      <c r="E62" s="38">
        <f>(0.9*Income!I62)-Expenditure!AP63</f>
        <v>-239.48000000000047</v>
      </c>
      <c r="F62" s="38">
        <f>Income!AA62-Expenditure!AU63</f>
        <v>-1653.6875</v>
      </c>
      <c r="G62" s="38">
        <f>Income!BI62-Expenditure!BR63</f>
        <v>851.62916666666638</v>
      </c>
      <c r="H62" s="38">
        <f>Income!AR62-Expenditure!BW63</f>
        <v>-3485.2416666666677</v>
      </c>
      <c r="I62" s="38">
        <f>Income!AR62-Expenditure!BW63+Income!BI62</f>
        <v>-1368.1000000000013</v>
      </c>
      <c r="J62" s="87">
        <f>H62/Income!AR62%</f>
        <v>-58.708159124295612</v>
      </c>
      <c r="K62" s="144">
        <f>Income!AR62/Expenditure!BW63%</f>
        <v>63.008732853918936</v>
      </c>
    </row>
    <row r="63" spans="1:11" x14ac:dyDescent="0.25">
      <c r="A63" s="29">
        <v>1941</v>
      </c>
      <c r="B63" s="38">
        <f>Income!E63-Expenditure!U64</f>
        <v>13.93333333333328</v>
      </c>
      <c r="C63" s="38">
        <f>(0.9*Income!E63)-Expenditure!U64</f>
        <v>-75.866666666666674</v>
      </c>
      <c r="D63" s="38">
        <f>Income!I63-Expenditure!AP64</f>
        <v>69.725000000000364</v>
      </c>
      <c r="E63" s="38">
        <f>(0.9*Income!I63)-Expenditure!AP64</f>
        <v>-249.66458333333276</v>
      </c>
      <c r="F63" s="38">
        <f>Income!AA63-Expenditure!AU64</f>
        <v>-458.25833333333333</v>
      </c>
      <c r="G63" s="38">
        <f>Income!BI63-Expenditure!BR64</f>
        <v>339.79166666666674</v>
      </c>
      <c r="H63" s="38">
        <f>Income!AR63-Expenditure!BW64</f>
        <v>-2126.2124999999992</v>
      </c>
      <c r="I63" s="38">
        <f>Income!AR63-Expenditure!BW64+Income!BI63</f>
        <v>-435.87083333333248</v>
      </c>
      <c r="J63" s="87">
        <f>H63/Income!AR63%</f>
        <v>-56.889706939819341</v>
      </c>
      <c r="K63" s="144">
        <f>Income!AR63/Expenditure!BW64%</f>
        <v>63.739044422052864</v>
      </c>
    </row>
    <row r="64" spans="1:11" x14ac:dyDescent="0.25">
      <c r="A64" s="29">
        <v>1942</v>
      </c>
      <c r="B64" s="38">
        <f>Income!E64-Expenditure!U65</f>
        <v>30.487500000000068</v>
      </c>
      <c r="C64" s="38">
        <f>(0.9*Income!E64)-Expenditure!U65</f>
        <v>-65.397499999999923</v>
      </c>
      <c r="D64" s="38">
        <f>Income!I64-Expenditure!AP65</f>
        <v>-1140.7249999999999</v>
      </c>
      <c r="E64" s="38">
        <f>(0.9*Income!I64)-Expenditure!AP65</f>
        <v>-1338.7683333333332</v>
      </c>
      <c r="F64" s="38">
        <f>Income!AA64-Expenditure!AU65</f>
        <v>-624.5958333333333</v>
      </c>
      <c r="G64" s="38">
        <f>Income!BI64-Expenditure!BR65</f>
        <v>376.30833333333339</v>
      </c>
      <c r="H64" s="38">
        <f>Income!AR64-Expenditure!BW65</f>
        <v>-3344.8583333333331</v>
      </c>
      <c r="I64" s="38">
        <f>Income!AR64-Expenditure!BW65+Income!BI64</f>
        <v>-1643.0333333333331</v>
      </c>
      <c r="J64" s="87">
        <f>H64/Income!AR64%</f>
        <v>-123.16801301082447</v>
      </c>
      <c r="K64" s="144">
        <f>Income!AR64/Expenditure!BW65%</f>
        <v>44.809289042309857</v>
      </c>
    </row>
    <row r="65" spans="1:11" x14ac:dyDescent="0.25">
      <c r="A65" s="29">
        <v>1943</v>
      </c>
      <c r="B65" s="38">
        <f>Income!E65-Expenditure!U66</f>
        <v>-115.62083333333334</v>
      </c>
      <c r="C65" s="38">
        <f>(0.9*Income!E65)-Expenditure!U66</f>
        <v>-144.79250000000002</v>
      </c>
      <c r="D65" s="38">
        <f>Income!I65-Expenditure!AP66</f>
        <v>-345.86249999999995</v>
      </c>
      <c r="E65" s="38">
        <f>(0.9*Income!I65)-Expenditure!AP66</f>
        <v>-469.57791666666662</v>
      </c>
      <c r="F65" s="38">
        <f>Income!AA65-Expenditure!AU66</f>
        <v>-522.42916666666667</v>
      </c>
      <c r="G65" s="38">
        <f>Income!BI65-Expenditure!BR66</f>
        <v>1148.1041666666665</v>
      </c>
      <c r="H65" s="38">
        <f>Income!AR65-Expenditure!BW66</f>
        <v>-2595.1958333333332</v>
      </c>
      <c r="I65" s="38">
        <f>Income!AR65-Expenditure!BW66+Income!BI65</f>
        <v>-71.508333333333212</v>
      </c>
      <c r="J65" s="87">
        <f>H65/Income!AR65%</f>
        <v>-192.93582301301629</v>
      </c>
      <c r="K65" s="144">
        <f>Income!AR65/Expenditure!BW66%</f>
        <v>34.137170036577125</v>
      </c>
    </row>
    <row r="66" spans="1:11" x14ac:dyDescent="0.25">
      <c r="A66" s="29">
        <v>1944</v>
      </c>
      <c r="B66" s="38">
        <f>Income!E66-Expenditure!U67</f>
        <v>-221.53749999999999</v>
      </c>
      <c r="C66" s="38">
        <f>(0.9*Income!E66)-Expenditure!U67</f>
        <v>-240.90875</v>
      </c>
      <c r="D66" s="38">
        <f>Income!I66-Expenditure!AP67</f>
        <v>137.10833333333335</v>
      </c>
      <c r="E66" s="38">
        <f>(0.9*Income!I66)-Expenditure!AP67</f>
        <v>-77.59708333333333</v>
      </c>
      <c r="F66" s="38">
        <f>Income!AA66-Expenditure!AU67</f>
        <v>-457.80416666666662</v>
      </c>
      <c r="G66" s="38">
        <f>Income!BI66-Expenditure!BR67</f>
        <v>1148.7166666666669</v>
      </c>
      <c r="H66" s="38">
        <f>Income!AR66-Expenditure!BW67</f>
        <v>-2168.8874999999998</v>
      </c>
      <c r="I66" s="38">
        <f>Income!AR66-Expenditure!BW67+Income!BI66</f>
        <v>380.16250000000036</v>
      </c>
      <c r="J66" s="87">
        <f>H66/Income!AR66%</f>
        <v>-96.786987298559168</v>
      </c>
      <c r="K66" s="144">
        <f>Income!AR66/Expenditure!BW67%</f>
        <v>50.816368182050105</v>
      </c>
    </row>
    <row r="67" spans="1:11" x14ac:dyDescent="0.25">
      <c r="A67" s="29">
        <v>1945</v>
      </c>
      <c r="B67" s="38">
        <f>Income!E67-Expenditure!U68</f>
        <v>-84.75</v>
      </c>
      <c r="C67" s="38">
        <f>(0.9*Income!E67)-Expenditure!U68</f>
        <v>-116.97708333333333</v>
      </c>
      <c r="D67" s="38">
        <f>Income!I67-Expenditure!AP68</f>
        <v>-622.04583333333358</v>
      </c>
      <c r="E67" s="38">
        <f>(0.9*Income!I67)-Expenditure!AP68</f>
        <v>-791.44291666666686</v>
      </c>
      <c r="F67" s="38">
        <f>Income!AA67-Expenditure!AU68</f>
        <v>-711</v>
      </c>
      <c r="G67" s="38">
        <f>Income!BI67-Expenditure!BR68</f>
        <v>1869.1208333333334</v>
      </c>
      <c r="H67" s="38">
        <f>Income!AR67-Expenditure!BW68</f>
        <v>-2197.7083333333339</v>
      </c>
      <c r="I67" s="38">
        <f>Income!AR67-Expenditure!BW68+Income!BI67</f>
        <v>255.60416666666606</v>
      </c>
      <c r="J67" s="87">
        <f>H67/Income!AR67%</f>
        <v>-114.59553176280933</v>
      </c>
      <c r="K67" s="144">
        <f>Income!AR67/Expenditure!BW68%</f>
        <v>46.599292715250549</v>
      </c>
    </row>
    <row r="68" spans="1:11" x14ac:dyDescent="0.25">
      <c r="A68" s="29">
        <v>1946</v>
      </c>
      <c r="B68" s="38">
        <f>Income!E68-Expenditure!U69</f>
        <v>-208.38749999999993</v>
      </c>
      <c r="C68" s="38">
        <f>(0.9*Income!E68)-Expenditure!U69</f>
        <v>-283.94208333333324</v>
      </c>
      <c r="D68" s="38">
        <f>Income!I68-Expenditure!AP69</f>
        <v>266.24166666666679</v>
      </c>
      <c r="E68" s="38">
        <f>(0.9*Income!I68)-Expenditure!AP69</f>
        <v>-133.39249999999993</v>
      </c>
      <c r="F68" s="38">
        <f>Income!AA68-Expenditure!AU69</f>
        <v>-1055.9458333333332</v>
      </c>
      <c r="G68" s="38">
        <f>Income!BI68-Expenditure!BR69</f>
        <v>1151.9333333333334</v>
      </c>
      <c r="H68" s="38">
        <f>Income!AR68-Expenditure!BW69</f>
        <v>-2516.5708333333341</v>
      </c>
      <c r="I68" s="38">
        <f>Income!AR68-Expenditure!BW69+Income!BI68</f>
        <v>-302.03750000000082</v>
      </c>
      <c r="J68" s="87">
        <f>H68/Income!AR68%</f>
        <v>-57.256331378896846</v>
      </c>
      <c r="K68" s="144">
        <f>Income!AR68/Expenditure!BW69%</f>
        <v>63.590444418455753</v>
      </c>
    </row>
    <row r="69" spans="1:11" x14ac:dyDescent="0.25">
      <c r="A69" s="29">
        <v>1947</v>
      </c>
      <c r="B69" s="38">
        <f>Income!E69-Expenditure!U70</f>
        <v>-559.64166666666665</v>
      </c>
      <c r="C69" s="38">
        <f>(0.9*Income!E69)-Expenditure!U70</f>
        <v>-673.38625000000002</v>
      </c>
      <c r="D69" s="38">
        <f>Income!I69-Expenditure!AP70</f>
        <v>-912.59583333333376</v>
      </c>
      <c r="E69" s="38">
        <f>(0.9*Income!I69)-Expenditure!AP70</f>
        <v>-1525.9854166666673</v>
      </c>
      <c r="F69" s="38">
        <f>Income!AA69-Expenditure!AU70</f>
        <v>-1098.9541666666667</v>
      </c>
      <c r="G69" s="38">
        <f>Income!BI69-Expenditure!BR70</f>
        <v>511.48750000000018</v>
      </c>
      <c r="H69" s="38">
        <f>Income!AR69-Expenditure!BW70</f>
        <v>-4885.2125000000015</v>
      </c>
      <c r="I69" s="38">
        <f>Income!AR69-Expenditure!BW70+Income!BI69</f>
        <v>-2757.1666666666679</v>
      </c>
      <c r="J69" s="87">
        <f>H69/Income!AR69%</f>
        <v>-73.480810835879964</v>
      </c>
      <c r="K69" s="144">
        <f>Income!AR69/Expenditure!BW70%</f>
        <v>57.643262974257219</v>
      </c>
    </row>
    <row r="70" spans="1:11" x14ac:dyDescent="0.25">
      <c r="A70" s="29">
        <v>1948</v>
      </c>
      <c r="B70" s="38">
        <f>Income!E70-Expenditure!U71</f>
        <v>390.38749999999982</v>
      </c>
      <c r="C70" s="38">
        <f>(0.9*Income!E70)-Expenditure!U71</f>
        <v>-109.27583333333314</v>
      </c>
      <c r="D70" s="38">
        <f>Income!I70-Expenditure!AP71</f>
        <v>588.79999999999927</v>
      </c>
      <c r="E70" s="38">
        <f>(0.9*Income!I70)-Expenditure!AP71</f>
        <v>-251.32375000000047</v>
      </c>
      <c r="F70" s="38">
        <f>Income!AA70-Expenditure!AU71</f>
        <v>-1190.1791666666668</v>
      </c>
      <c r="G70" s="38">
        <f>Income!BI70-Expenditure!BR71</f>
        <v>1011.0999999999999</v>
      </c>
      <c r="H70" s="38">
        <f>Income!AR70-Expenditure!BW71</f>
        <v>-3264.5375000000004</v>
      </c>
      <c r="I70" s="38">
        <f>Income!AR70-Expenditure!BW71+Income!BI70</f>
        <v>-493.94583333333367</v>
      </c>
      <c r="J70" s="87">
        <f>H70/Income!AR70%</f>
        <v>-26.702782104283759</v>
      </c>
      <c r="K70" s="144">
        <f>Income!AR70/Expenditure!BW71%</f>
        <v>78.924865215425328</v>
      </c>
    </row>
    <row r="71" spans="1:11" x14ac:dyDescent="0.25">
      <c r="A71" s="29">
        <v>1949</v>
      </c>
      <c r="B71" s="38">
        <f>Income!E71-Expenditure!U72</f>
        <v>1039.7416666666663</v>
      </c>
      <c r="C71" s="38">
        <f>(0.9*Income!E71)-Expenditure!U72</f>
        <v>621.05958333333319</v>
      </c>
      <c r="D71" s="38">
        <f>Income!I71-Expenditure!AP72</f>
        <v>4728.7749999999996</v>
      </c>
      <c r="E71" s="38">
        <f>(0.9*Income!I71)-Expenditure!AP72</f>
        <v>3307.217083333333</v>
      </c>
      <c r="F71" s="38">
        <f>Income!AA71-Expenditure!AU72</f>
        <v>-1402.5041666666668</v>
      </c>
      <c r="G71" s="38">
        <f>Income!BI71-Expenditure!BR72</f>
        <v>1310.0124999999998</v>
      </c>
      <c r="H71" s="38">
        <f>Income!AR71-Expenditure!BW72</f>
        <v>300.23749999999927</v>
      </c>
      <c r="I71" s="38">
        <f>Income!AR71-Expenditure!BW72+Income!BI71</f>
        <v>3998.6666666666656</v>
      </c>
      <c r="J71" s="87">
        <f>H71/Income!AR71%</f>
        <v>1.782991983130398</v>
      </c>
      <c r="K71" s="144">
        <f>Income!AR71/Expenditure!BW72%</f>
        <v>101.81535970106536</v>
      </c>
    </row>
    <row r="72" spans="1:11" x14ac:dyDescent="0.25">
      <c r="A72" s="29">
        <v>1950</v>
      </c>
      <c r="B72" s="38">
        <f>Income!E72-Expenditure!U73</f>
        <v>117.66666666666697</v>
      </c>
      <c r="C72" s="38">
        <f>(0.9*Income!E72)-Expenditure!U73</f>
        <v>-265.00374999999985</v>
      </c>
      <c r="D72" s="38">
        <f>Income!I72-Expenditure!AP73</f>
        <v>2797.6833333333343</v>
      </c>
      <c r="E72" s="38">
        <f>(0.9*Income!I72)-Expenditure!AP73</f>
        <v>1394.8375000000015</v>
      </c>
      <c r="F72" s="38">
        <f>Income!AA72-Expenditure!AU73</f>
        <v>-1629.2250000000001</v>
      </c>
      <c r="G72" s="38">
        <f>Income!BI72-Expenditure!BR73</f>
        <v>-1226.0458333333331</v>
      </c>
      <c r="H72" s="38">
        <f>Income!AR72-Expenditure!BW73</f>
        <v>-2891.6791666666613</v>
      </c>
      <c r="I72" s="38">
        <f>Income!AR72-Expenditure!BW73+Income!BI72</f>
        <v>-1560.5249999999946</v>
      </c>
      <c r="J72" s="87">
        <f>H72/Income!AR72%</f>
        <v>-17.617101816508232</v>
      </c>
      <c r="K72" s="144">
        <f>Income!AR72/Expenditure!BW73%</f>
        <v>85.021649450271042</v>
      </c>
    </row>
    <row r="73" spans="1:11" x14ac:dyDescent="0.25">
      <c r="A73" s="29">
        <v>1951</v>
      </c>
      <c r="B73" s="38">
        <f>Income!E73-Expenditure!U74</f>
        <v>850.17500000000018</v>
      </c>
      <c r="C73" s="38">
        <f>(0.9*Income!E73)-Expenditure!U74</f>
        <v>199.09875000000011</v>
      </c>
      <c r="D73" s="38">
        <f>Income!I73-Expenditure!AP74</f>
        <v>4478.8083333333343</v>
      </c>
      <c r="E73" s="38">
        <f>(0.9*Income!I73)-Expenditure!AP74</f>
        <v>2602.3416666666672</v>
      </c>
      <c r="F73" s="38">
        <f>Income!AA73-Expenditure!AU74</f>
        <v>-1663.5041666666666</v>
      </c>
      <c r="G73" s="38">
        <f>Income!BI73-Expenditure!BR74</f>
        <v>-522.22499999999991</v>
      </c>
      <c r="H73" s="38">
        <f>Income!AR73-Expenditure!BW74</f>
        <v>-1469.8374999999978</v>
      </c>
      <c r="I73" s="38">
        <f>Income!AR73-Expenditure!BW74+Income!BI73</f>
        <v>864.95833333333576</v>
      </c>
      <c r="J73" s="87">
        <f>H73/Income!AR73%</f>
        <v>-6.314283080486466</v>
      </c>
      <c r="K73" s="144">
        <f>Income!AR73/Expenditure!BW74%</f>
        <v>94.060738691426664</v>
      </c>
    </row>
    <row r="74" spans="1:11" x14ac:dyDescent="0.25">
      <c r="A74" s="29">
        <v>1952</v>
      </c>
      <c r="B74" s="38">
        <f>Income!E74-Expenditure!U75</f>
        <v>-111.88749999999982</v>
      </c>
      <c r="C74" s="38">
        <f>(0.9*Income!E74)-Expenditure!U75</f>
        <v>-871.74833333333299</v>
      </c>
      <c r="D74" s="38">
        <f>Income!I74-Expenditure!AP75</f>
        <v>3225.0500000000029</v>
      </c>
      <c r="E74" s="38">
        <f>(0.9*Income!I74)-Expenditure!AP75</f>
        <v>763.42875000000276</v>
      </c>
      <c r="F74" s="38">
        <f>Income!AA74-Expenditure!AU75</f>
        <v>-2479.9708333333333</v>
      </c>
      <c r="G74" s="38">
        <f>Income!BI74-Expenditure!BR75</f>
        <v>-1712.7208333333333</v>
      </c>
      <c r="H74" s="38">
        <f>Income!AR74-Expenditure!BW75</f>
        <v>-5521.3208333333314</v>
      </c>
      <c r="I74" s="38">
        <f>Income!AR74-Expenditure!BW75+Income!BI74</f>
        <v>-3736.1958333333314</v>
      </c>
      <c r="J74" s="87">
        <f>H74/Income!AR74%</f>
        <v>-18.537408685093315</v>
      </c>
      <c r="K74" s="144">
        <f>Income!AR74/Expenditure!BW75%</f>
        <v>84.361553967878763</v>
      </c>
    </row>
    <row r="75" spans="1:11" x14ac:dyDescent="0.25">
      <c r="A75" s="29">
        <v>1953</v>
      </c>
      <c r="B75" s="38">
        <f>Income!E75-Expenditure!U76</f>
        <v>1030.6708333333327</v>
      </c>
      <c r="C75" s="38">
        <f>(0.9*Income!E75)-Expenditure!U76</f>
        <v>394.15041666666639</v>
      </c>
      <c r="D75" s="38">
        <f>Income!I75-Expenditure!AP76</f>
        <v>1596.0125000000007</v>
      </c>
      <c r="E75" s="38">
        <f>(0.9*Income!I75)-Expenditure!AP76</f>
        <v>-513.35124999999971</v>
      </c>
      <c r="F75" s="38">
        <f>Income!AA75-Expenditure!AU76</f>
        <v>-2152.0041666666671</v>
      </c>
      <c r="G75" s="38">
        <f>Income!BI75-Expenditure!BR76</f>
        <v>1676.5666666666666</v>
      </c>
      <c r="H75" s="38">
        <f>Income!AR75-Expenditure!BW76</f>
        <v>-5693.5625000000036</v>
      </c>
      <c r="I75" s="38">
        <f>Income!AR75-Expenditure!BW76+Income!BI75</f>
        <v>-419.95833333333667</v>
      </c>
      <c r="J75" s="87">
        <f>H75/Income!AR75%</f>
        <v>-22.650555317411634</v>
      </c>
      <c r="K75" s="144">
        <f>Income!AR75/Expenditure!BW76%</f>
        <v>81.532447807681365</v>
      </c>
    </row>
    <row r="76" spans="1:11" x14ac:dyDescent="0.25">
      <c r="A76" s="29">
        <v>1954</v>
      </c>
      <c r="B76" s="38">
        <f>Income!E76-Expenditure!U77</f>
        <v>-1760.8083333333334</v>
      </c>
      <c r="C76" s="38">
        <f>(0.9*Income!E76)-Expenditure!U77</f>
        <v>-1863.7704166666667</v>
      </c>
      <c r="D76" s="38">
        <f>Income!I76-Expenditure!AP77</f>
        <v>4098.241666666665</v>
      </c>
      <c r="E76" s="38">
        <f>(0.9*Income!I76)-Expenditure!AP77</f>
        <v>2081.6754166666651</v>
      </c>
      <c r="F76" s="38">
        <f>Income!AA76-Expenditure!AU77</f>
        <v>-1458.3083333333334</v>
      </c>
      <c r="G76" s="38">
        <f>Income!BI76-Expenditure!BR77</f>
        <v>381.89583333333303</v>
      </c>
      <c r="H76" s="38">
        <f>Income!AR76-Expenditure!BW77</f>
        <v>-7036.7499999999964</v>
      </c>
      <c r="I76" s="38">
        <f>Income!AR76-Expenditure!BW77+Income!BI76</f>
        <v>-753.39999999999691</v>
      </c>
      <c r="J76" s="87">
        <f>H76/Income!AR76%</f>
        <v>-36.173804418301117</v>
      </c>
      <c r="K76" s="144">
        <f>Income!AR76/Expenditure!BW77%</f>
        <v>73.435563049129641</v>
      </c>
    </row>
    <row r="77" spans="1:11" x14ac:dyDescent="0.25">
      <c r="A77" s="29">
        <v>1955</v>
      </c>
      <c r="B77" s="38">
        <f>Income!E77-Expenditure!U78</f>
        <v>5516.8583333333336</v>
      </c>
      <c r="C77" s="38">
        <f>B77</f>
        <v>5516.8583333333336</v>
      </c>
      <c r="D77" s="38">
        <f>Income!I77-Expenditure!AP78</f>
        <v>22074.795833333337</v>
      </c>
      <c r="E77" s="38">
        <f>D77</f>
        <v>22074.795833333337</v>
      </c>
      <c r="F77" s="38">
        <f>Income!AA77-Expenditure!AU78</f>
        <v>-217.5</v>
      </c>
      <c r="G77" s="38">
        <f>Income!BI77-Expenditure!BR78</f>
        <v>-7514.05</v>
      </c>
      <c r="H77" s="38">
        <f>Income!AR77-Expenditure!BW78</f>
        <v>16547.162500000006</v>
      </c>
      <c r="I77" s="38">
        <f>Income!AR77-Expenditure!BW78+Income!BI77</f>
        <v>18125.433333333338</v>
      </c>
      <c r="J77" s="87">
        <f>H77/Income!AR77%</f>
        <v>27.493292860770993</v>
      </c>
      <c r="K77" s="144">
        <f>Income!AR77/Expenditure!BW78%</f>
        <v>137.91827535068964</v>
      </c>
    </row>
    <row r="78" spans="1:11" x14ac:dyDescent="0.25">
      <c r="A78" s="29">
        <v>1956</v>
      </c>
      <c r="B78" s="38">
        <f>Income!E78-Expenditure!U79</f>
        <v>5795.1291666666675</v>
      </c>
      <c r="C78" s="38">
        <f t="shared" ref="C78:C90" si="0">B78</f>
        <v>5795.1291666666675</v>
      </c>
      <c r="D78" s="38">
        <f>Income!I78-Expenditure!AP79</f>
        <v>23412.833333333332</v>
      </c>
      <c r="E78" s="38">
        <f t="shared" ref="E78:E90" si="1">D78</f>
        <v>23412.833333333332</v>
      </c>
      <c r="F78" s="38">
        <f>Income!AA78-Expenditure!AU79</f>
        <v>-1430.375</v>
      </c>
      <c r="G78" s="38">
        <f>Income!BI78-Expenditure!BR79</f>
        <v>976.5333333333333</v>
      </c>
      <c r="H78" s="38">
        <f>Income!AR78-Expenditure!BW79</f>
        <v>25429.025000000005</v>
      </c>
      <c r="I78" s="38">
        <f>Income!AR78-Expenditure!BW79+Income!BI78</f>
        <v>26929.025000000005</v>
      </c>
      <c r="J78" s="87">
        <f>H78/Income!AR78%</f>
        <v>46.611141843390435</v>
      </c>
      <c r="K78" s="144">
        <f>Income!AR78/Expenditure!BW79%</f>
        <v>187.30499855730659</v>
      </c>
    </row>
    <row r="79" spans="1:11" x14ac:dyDescent="0.25">
      <c r="A79" s="29">
        <v>1957</v>
      </c>
      <c r="B79" s="38">
        <f>Income!E79-Expenditure!U80</f>
        <v>4096.6083333333336</v>
      </c>
      <c r="C79" s="38">
        <f t="shared" si="0"/>
        <v>4096.6083333333336</v>
      </c>
      <c r="D79" s="38">
        <f>Income!I79-Expenditure!AP80</f>
        <v>17903.954166666666</v>
      </c>
      <c r="E79" s="38">
        <f t="shared" si="1"/>
        <v>17903.954166666666</v>
      </c>
      <c r="F79" s="38">
        <f>Income!AA79-Expenditure!AU80</f>
        <v>-2736.8874999999998</v>
      </c>
      <c r="G79" s="38">
        <f>Income!BI79-Expenditure!BR80</f>
        <v>777.9</v>
      </c>
      <c r="H79" s="38">
        <f>Income!AR79-Expenditure!BW80</f>
        <v>16469.108333333337</v>
      </c>
      <c r="I79" s="38">
        <f>Income!AR79-Expenditure!BW80+Income!BI79</f>
        <v>17969.108333333337</v>
      </c>
      <c r="J79" s="87">
        <f>H79/Income!AR79%</f>
        <v>31.014410853183371</v>
      </c>
      <c r="K79" s="144">
        <f>Income!AR79/Expenditure!BW80%</f>
        <v>144.95781109758713</v>
      </c>
    </row>
    <row r="80" spans="1:11" x14ac:dyDescent="0.25">
      <c r="A80" s="29">
        <v>1958</v>
      </c>
      <c r="B80" s="38">
        <f>Income!E80-Expenditure!U81</f>
        <v>9019.3624999999993</v>
      </c>
      <c r="C80" s="38">
        <f t="shared" si="0"/>
        <v>9019.3624999999993</v>
      </c>
      <c r="D80" s="38">
        <f>Income!I80-Expenditure!AP81</f>
        <v>21573.270833333332</v>
      </c>
      <c r="E80" s="38">
        <f t="shared" si="1"/>
        <v>21573.270833333332</v>
      </c>
      <c r="F80" s="38">
        <f>Income!AA80-Expenditure!AU81</f>
        <v>-3814.5583333333334</v>
      </c>
      <c r="G80" s="38"/>
      <c r="H80" s="38">
        <f>Income!AR80-Expenditure!BW81</f>
        <v>22119.129166666666</v>
      </c>
      <c r="I80" s="38"/>
      <c r="J80" s="87">
        <f>H80/Income!AR80%</f>
        <v>34.196325090196616</v>
      </c>
      <c r="K80" s="144">
        <f>Income!AR80/Expenditure!BW81%</f>
        <v>151.96719656929383</v>
      </c>
    </row>
    <row r="81" spans="1:11" x14ac:dyDescent="0.25">
      <c r="A81" s="29">
        <v>1959</v>
      </c>
      <c r="B81" s="38">
        <f>Income!E81-Expenditure!U82</f>
        <v>4893.5624999999991</v>
      </c>
      <c r="C81" s="38">
        <f t="shared" si="0"/>
        <v>4893.5624999999991</v>
      </c>
      <c r="D81" s="38">
        <f>Income!I81-Expenditure!AP82</f>
        <v>19616.987499999999</v>
      </c>
      <c r="E81" s="38">
        <f t="shared" si="1"/>
        <v>19616.987499999999</v>
      </c>
      <c r="F81" s="38">
        <f>Income!AA81-Expenditure!AU82</f>
        <v>-2972.2166666666662</v>
      </c>
      <c r="G81" s="38"/>
      <c r="H81" s="38">
        <f>Income!AR81-Expenditure!BW82</f>
        <v>17079.445833333331</v>
      </c>
      <c r="I81" s="38"/>
      <c r="J81" s="87">
        <f>H81/Income!AR81%</f>
        <v>29.503160219766517</v>
      </c>
      <c r="K81" s="144">
        <f>Income!AR81/Expenditure!BW82%</f>
        <v>141.85033018748007</v>
      </c>
    </row>
    <row r="82" spans="1:11" x14ac:dyDescent="0.25">
      <c r="A82" s="29">
        <v>1960</v>
      </c>
      <c r="B82" s="38">
        <f>Income!E82-Expenditure!U83</f>
        <v>3987.4375</v>
      </c>
      <c r="C82" s="38">
        <f t="shared" si="0"/>
        <v>3987.4375</v>
      </c>
      <c r="D82" s="38">
        <f>Income!I82-Expenditure!AP83</f>
        <v>16943.262500000001</v>
      </c>
      <c r="E82" s="38">
        <f t="shared" si="1"/>
        <v>16943.262500000001</v>
      </c>
      <c r="F82" s="38">
        <f>Income!AA82-Expenditure!AU83</f>
        <v>-6111.8916666666646</v>
      </c>
      <c r="G82" s="38"/>
      <c r="H82" s="38">
        <f>Income!AR82-Expenditure!BW83</f>
        <v>8926.4166666666715</v>
      </c>
      <c r="I82" s="38"/>
      <c r="J82" s="87">
        <f>H82/Income!AR82%</f>
        <v>12.674825821279128</v>
      </c>
      <c r="K82" s="144">
        <f>Income!AR82/Expenditure!BW83%</f>
        <v>114.51451536224671</v>
      </c>
    </row>
    <row r="83" spans="1:11" x14ac:dyDescent="0.25">
      <c r="A83" s="29">
        <v>1961</v>
      </c>
      <c r="B83" s="38">
        <f>Income!E83-Expenditure!U84</f>
        <v>8199.3083333333343</v>
      </c>
      <c r="C83" s="38">
        <f t="shared" si="0"/>
        <v>8199.3083333333343</v>
      </c>
      <c r="D83" s="38">
        <f>Income!I83-Expenditure!AP84</f>
        <v>25555.679166666669</v>
      </c>
      <c r="E83" s="38">
        <f t="shared" si="1"/>
        <v>25555.679166666669</v>
      </c>
      <c r="F83" s="38">
        <f>Income!AA83-Expenditure!AU84</f>
        <v>-4785.729166666667</v>
      </c>
      <c r="G83" s="38"/>
      <c r="H83" s="38">
        <f>Income!AR83-Expenditure!BW84</f>
        <v>24219.866666666676</v>
      </c>
      <c r="I83" s="38"/>
      <c r="J83" s="87">
        <f>H83/Income!AR83%</f>
        <v>33.206341001887814</v>
      </c>
      <c r="K83" s="144">
        <f>Income!AR83/Expenditure!BW84%</f>
        <v>149.71481050742608</v>
      </c>
    </row>
    <row r="84" spans="1:11" x14ac:dyDescent="0.25">
      <c r="A84" s="29">
        <v>1962</v>
      </c>
      <c r="B84" s="38">
        <f>Income!E84-Expenditure!U85</f>
        <v>5779.2875000000004</v>
      </c>
      <c r="C84" s="38">
        <f t="shared" si="0"/>
        <v>5779.2875000000004</v>
      </c>
      <c r="D84" s="38">
        <f>Income!I84-Expenditure!AP85</f>
        <v>20145.558333333334</v>
      </c>
      <c r="E84" s="38">
        <f t="shared" si="1"/>
        <v>20145.558333333334</v>
      </c>
      <c r="F84" s="38">
        <f>Income!AA84-Expenditure!AU85</f>
        <v>-4701.4291666666677</v>
      </c>
      <c r="G84" s="38"/>
      <c r="H84" s="38">
        <f>Income!AR84-Expenditure!BW85</f>
        <v>15853.783333333333</v>
      </c>
      <c r="I84" s="38"/>
      <c r="J84" s="87">
        <f>H84/Income!AR84%</f>
        <v>20.82825888843491</v>
      </c>
      <c r="K84" s="144">
        <f>Income!AR84/Expenditure!BW85%</f>
        <v>126.30769337140724</v>
      </c>
    </row>
    <row r="85" spans="1:11" x14ac:dyDescent="0.25">
      <c r="A85" s="29">
        <v>1963</v>
      </c>
      <c r="B85" s="38">
        <f>Income!E85-Expenditure!U86</f>
        <v>6448.5416666666679</v>
      </c>
      <c r="C85" s="38">
        <f t="shared" si="0"/>
        <v>6448.5416666666679</v>
      </c>
      <c r="D85" s="38">
        <f>Income!I85-Expenditure!AP86</f>
        <v>25159.775000000001</v>
      </c>
      <c r="E85" s="38">
        <f t="shared" si="1"/>
        <v>25159.775000000001</v>
      </c>
      <c r="F85" s="38">
        <f>Income!AA85-Expenditure!AU86</f>
        <v>-1731.8916666666669</v>
      </c>
      <c r="G85" s="38"/>
      <c r="H85" s="38">
        <f>Income!AR85-Expenditure!BW86</f>
        <v>23374.716666666682</v>
      </c>
      <c r="I85" s="38"/>
      <c r="J85" s="87">
        <f>H85/Income!AR85%</f>
        <v>29.180732930065641</v>
      </c>
      <c r="K85" s="144">
        <f>Income!AR85/Expenditure!BW86%</f>
        <v>141.20451133905345</v>
      </c>
    </row>
    <row r="86" spans="1:11" x14ac:dyDescent="0.25">
      <c r="A86" s="29">
        <v>1964</v>
      </c>
      <c r="B86" s="82"/>
      <c r="C86" s="38">
        <f t="shared" si="0"/>
        <v>0</v>
      </c>
      <c r="D86" s="38">
        <f>Income!I86-Expenditure!AP87</f>
        <v>0</v>
      </c>
      <c r="E86" s="38">
        <f t="shared" si="1"/>
        <v>0</v>
      </c>
      <c r="F86" s="38">
        <f>Income!AA86-Expenditure!AU87</f>
        <v>0</v>
      </c>
      <c r="G86" s="38"/>
      <c r="H86" s="38">
        <f>Income!AR86-Expenditure!BV87</f>
        <v>55655</v>
      </c>
      <c r="I86" s="38"/>
      <c r="J86" s="87">
        <f>H86/Income!AR86%</f>
        <v>44.907328960002587</v>
      </c>
      <c r="K86" s="144">
        <f>Income!AR86/Expenditure!BW87%</f>
        <v>181.51234658308681</v>
      </c>
    </row>
    <row r="87" spans="1:11" x14ac:dyDescent="0.25">
      <c r="A87" s="29">
        <v>1965</v>
      </c>
      <c r="B87" s="82"/>
      <c r="C87" s="38">
        <f t="shared" si="0"/>
        <v>0</v>
      </c>
      <c r="D87" s="38">
        <f>Income!I87-Expenditure!AP88</f>
        <v>0</v>
      </c>
      <c r="E87" s="38">
        <f t="shared" si="1"/>
        <v>0</v>
      </c>
      <c r="F87" s="38">
        <f>Income!AA87-Expenditure!AU88</f>
        <v>0</v>
      </c>
      <c r="G87" s="38"/>
      <c r="H87" s="38">
        <f>Income!AR87-Expenditure!BV88</f>
        <v>32359</v>
      </c>
      <c r="I87" s="38"/>
      <c r="J87" s="87">
        <f>H87/Income!AR87%</f>
        <v>29.294502131974184</v>
      </c>
      <c r="K87" s="144">
        <f>Income!AR87/Expenditure!BW88%</f>
        <v>141.4317174976313</v>
      </c>
    </row>
    <row r="88" spans="1:11" x14ac:dyDescent="0.25">
      <c r="A88" s="29">
        <v>1966</v>
      </c>
      <c r="B88" s="38">
        <f>Income!E88-Expenditure!U89</f>
        <v>25567.758333333335</v>
      </c>
      <c r="C88" s="38">
        <f t="shared" si="0"/>
        <v>25567.758333333335</v>
      </c>
      <c r="D88" s="38">
        <f>Income!I88-Expenditure!AP89</f>
        <v>32370.112500000003</v>
      </c>
      <c r="E88" s="38">
        <f t="shared" si="1"/>
        <v>32370.112500000003</v>
      </c>
      <c r="F88" s="38">
        <f>Income!AA88-Expenditure!AU89</f>
        <v>-4451.7083333333339</v>
      </c>
      <c r="G88" s="38"/>
      <c r="H88" s="38">
        <f>Income!AR88-Expenditure!BW89</f>
        <v>48222.883333333346</v>
      </c>
      <c r="I88" s="38"/>
      <c r="J88" s="87">
        <f>H88/Income!AR88%</f>
        <v>33.538791354842054</v>
      </c>
      <c r="K88" s="144">
        <f>Income!AR88/Expenditure!BW89%</f>
        <v>150.46370964137671</v>
      </c>
    </row>
    <row r="89" spans="1:11" x14ac:dyDescent="0.25">
      <c r="A89" s="29">
        <v>1967</v>
      </c>
      <c r="B89" s="38">
        <f>Income!E89-Expenditure!U90</f>
        <v>21497</v>
      </c>
      <c r="C89" s="38">
        <f t="shared" si="0"/>
        <v>21497</v>
      </c>
      <c r="D89" s="38">
        <f>Income!I89-Expenditure!AP90</f>
        <v>41350</v>
      </c>
      <c r="E89" s="38">
        <f t="shared" si="1"/>
        <v>41350</v>
      </c>
      <c r="F89" s="38">
        <f>Income!AA89-Expenditure!AU90</f>
        <v>-543</v>
      </c>
      <c r="G89" s="38"/>
      <c r="H89" s="38">
        <f>Income!AR89-Expenditure!BW90</f>
        <v>50913</v>
      </c>
      <c r="I89" s="38"/>
      <c r="J89" s="87">
        <f>H89/Income!AR89%</f>
        <v>34.449789903172764</v>
      </c>
      <c r="K89" s="144">
        <f>Income!AR89/Expenditure!BW90%</f>
        <v>152.55481233742103</v>
      </c>
    </row>
    <row r="90" spans="1:11" x14ac:dyDescent="0.25">
      <c r="A90" s="29">
        <v>1968</v>
      </c>
      <c r="B90" s="38">
        <f>Income!E90-Expenditure!U91</f>
        <v>11825.329166666666</v>
      </c>
      <c r="C90" s="38">
        <f t="shared" si="0"/>
        <v>11825.329166666666</v>
      </c>
      <c r="D90" s="38">
        <f>Income!I90-Expenditure!AP91</f>
        <v>47136.64166666667</v>
      </c>
      <c r="E90" s="38">
        <f t="shared" si="1"/>
        <v>47136.64166666667</v>
      </c>
      <c r="F90" s="38">
        <f>Income!AA90-Expenditure!AU91</f>
        <v>6613.1291666666675</v>
      </c>
      <c r="G90" s="38"/>
      <c r="H90" s="38">
        <f>Income!AR90-Expenditure!BW91</f>
        <v>54386.274999999994</v>
      </c>
      <c r="I90" s="38"/>
      <c r="J90" s="87">
        <f>H90/Income!AR90%</f>
        <v>39.050635032137542</v>
      </c>
      <c r="K90" s="144">
        <f>Income!AR90/Expenditure!BW91%</f>
        <v>164.07061837761276</v>
      </c>
    </row>
    <row r="91" spans="1:11" x14ac:dyDescent="0.25">
      <c r="A91" s="29">
        <v>1969</v>
      </c>
      <c r="H91" s="81">
        <f>Income!AV91-Expenditure!BV92</f>
        <v>77595</v>
      </c>
      <c r="J91" s="87">
        <f>H91/Income!AR91%</f>
        <v>42.662744666813282</v>
      </c>
      <c r="K91" s="144">
        <f>Income!AV91/Expenditure!BW92%</f>
        <v>174.40667401831521</v>
      </c>
    </row>
    <row r="92" spans="1:11" x14ac:dyDescent="0.25">
      <c r="A92" s="29">
        <v>1970</v>
      </c>
      <c r="B92" s="38"/>
      <c r="C92" s="38"/>
      <c r="D92" s="38"/>
      <c r="E92" s="38"/>
      <c r="F92" s="38"/>
      <c r="G92" s="38"/>
      <c r="H92" s="81">
        <f>Income!AV92-Expenditure!BV93</f>
        <v>78579</v>
      </c>
      <c r="I92" s="38"/>
      <c r="J92" s="87">
        <f>H92/Income!AV92%</f>
        <v>38.639962234832467</v>
      </c>
      <c r="K92" s="144">
        <f>Income!AV92/Expenditure!BW93%</f>
        <v>162.97252029523253</v>
      </c>
    </row>
    <row r="93" spans="1:11" x14ac:dyDescent="0.25">
      <c r="A93" s="29">
        <v>1971</v>
      </c>
      <c r="H93" s="81">
        <f>Income!AV93-Expenditure!BV94</f>
        <v>76684</v>
      </c>
      <c r="J93" s="87">
        <f>H93/Income!AV93%</f>
        <v>30.698281418260283</v>
      </c>
      <c r="K93" s="144">
        <f>Income!AV93/Expenditure!BW94%</f>
        <v>144.29656586662045</v>
      </c>
    </row>
    <row r="94" spans="1:11" x14ac:dyDescent="0.25">
      <c r="A94" s="29">
        <v>1972</v>
      </c>
      <c r="H94" s="81">
        <f>Income!AV94-Expenditure!BV95</f>
        <v>41861</v>
      </c>
      <c r="J94" s="87">
        <f>H94/Income!AV94%</f>
        <v>20.619658645912864</v>
      </c>
      <c r="K94" s="144">
        <f>Income!AV94/Expenditure!BW95%</f>
        <v>125.9757747247974</v>
      </c>
    </row>
    <row r="95" spans="1:11" x14ac:dyDescent="0.25">
      <c r="A95" s="29">
        <v>1973</v>
      </c>
      <c r="B95" s="38">
        <f>Income!E95-Expenditure!U96</f>
        <v>26550</v>
      </c>
      <c r="C95" s="38">
        <f t="shared" ref="C95:C96" si="2">B95</f>
        <v>26550</v>
      </c>
      <c r="D95" s="38">
        <f>Income!I95-Expenditure!AP96</f>
        <v>49432</v>
      </c>
      <c r="E95" s="38">
        <f t="shared" ref="E95:E102" si="3">D95</f>
        <v>49432</v>
      </c>
      <c r="F95" s="38">
        <f>Income!AA95-Expenditure!AU96</f>
        <v>-17304</v>
      </c>
      <c r="G95" s="38"/>
      <c r="H95" s="82">
        <f>Income!AV95-Expenditure!BV96</f>
        <v>49920</v>
      </c>
      <c r="J95" s="87">
        <f>H95/Income!AR95%</f>
        <v>27.181843922200684</v>
      </c>
      <c r="K95" s="144">
        <f>Income!AV95/Expenditure!BW96%</f>
        <v>137.32838811952263</v>
      </c>
    </row>
    <row r="96" spans="1:11" x14ac:dyDescent="0.25">
      <c r="A96" s="29">
        <v>1974</v>
      </c>
      <c r="B96" s="38">
        <f>Income!E96-Expenditure!U97</f>
        <v>40288.080000000002</v>
      </c>
      <c r="C96" s="38">
        <f t="shared" si="2"/>
        <v>40288.080000000002</v>
      </c>
      <c r="D96" s="38">
        <f>Income!I96-Expenditure!AP97</f>
        <v>97323.11</v>
      </c>
      <c r="E96" s="38">
        <f t="shared" si="3"/>
        <v>97323.11</v>
      </c>
      <c r="F96" s="38">
        <f>Income!AA96-Expenditure!AU97</f>
        <v>-18707.93</v>
      </c>
      <c r="G96" s="38"/>
      <c r="H96" s="82">
        <f>Income!AV96-Expenditure!BV97</f>
        <v>106312</v>
      </c>
      <c r="J96" s="87">
        <f>H96/Income!AR96%</f>
        <v>38.644475730537145</v>
      </c>
      <c r="K96" s="144">
        <f>Income!AV96/Expenditure!BW97%</f>
        <v>162.98391802904769</v>
      </c>
    </row>
    <row r="97" spans="1:11" x14ac:dyDescent="0.25">
      <c r="A97" s="29">
        <v>1975</v>
      </c>
      <c r="E97" s="38"/>
      <c r="H97" s="81">
        <f>Income!AV97-Expenditure!BV98</f>
        <v>68980</v>
      </c>
      <c r="J97" s="87">
        <f>H97/Income!AV97%</f>
        <v>20.916404125061781</v>
      </c>
      <c r="K97" s="144">
        <f>Income!AV97/Expenditure!BW98%</f>
        <v>126.44847378733095</v>
      </c>
    </row>
    <row r="98" spans="1:11" x14ac:dyDescent="0.25">
      <c r="A98" s="29">
        <v>1976</v>
      </c>
      <c r="B98" s="38">
        <f>Income!E98-Expenditure!U99</f>
        <v>64092</v>
      </c>
      <c r="C98" s="38">
        <f t="shared" ref="C98:C99" si="4">B98</f>
        <v>64092</v>
      </c>
      <c r="D98" s="38">
        <f>Income!I98-Expenditure!AP99</f>
        <v>100027</v>
      </c>
      <c r="E98" s="38">
        <f t="shared" ref="E98:E99" si="5">D98</f>
        <v>100027</v>
      </c>
      <c r="F98" s="38">
        <f>Income!AA98-Expenditure!AU99</f>
        <v>-9664</v>
      </c>
      <c r="H98" s="81">
        <f>Income!AV98-Expenditure!BV99</f>
        <v>107434</v>
      </c>
      <c r="I98" t="s">
        <v>166</v>
      </c>
      <c r="J98" s="87">
        <f>H98/Income!AV98%</f>
        <v>24.475782567093454</v>
      </c>
      <c r="K98" s="144">
        <f>Income!AV98/Expenditure!BW99%</f>
        <v>97.781896515236227</v>
      </c>
    </row>
    <row r="99" spans="1:11" x14ac:dyDescent="0.25">
      <c r="A99" s="29">
        <v>1977</v>
      </c>
      <c r="B99" s="38">
        <f>Income!E99-Expenditure!U100</f>
        <v>81486.34</v>
      </c>
      <c r="C99" s="38">
        <f t="shared" si="4"/>
        <v>81486.34</v>
      </c>
      <c r="D99" s="38">
        <f>Income!I99-Expenditure!AP100</f>
        <v>142422.35999999999</v>
      </c>
      <c r="E99" s="38">
        <f t="shared" si="5"/>
        <v>142422.35999999999</v>
      </c>
      <c r="F99" s="38">
        <f>Income!AA99-Expenditure!AU100</f>
        <v>4372.7300000000032</v>
      </c>
      <c r="H99" s="81">
        <f>Income!AV99-Expenditure!BV100</f>
        <v>180794</v>
      </c>
      <c r="I99" t="s">
        <v>166</v>
      </c>
      <c r="J99" s="87">
        <f>H99/Income!AV99%</f>
        <v>31.555706047446836</v>
      </c>
      <c r="K99" s="144">
        <f>Income!AV99/Expenditure!BW100%</f>
        <v>110.88551334347531</v>
      </c>
    </row>
    <row r="100" spans="1:11" x14ac:dyDescent="0.25">
      <c r="A100" s="29">
        <v>1978</v>
      </c>
      <c r="E100" s="38"/>
      <c r="H100" s="38">
        <f>Income!AV100-Expenditure!BV101</f>
        <v>229139</v>
      </c>
      <c r="J100" s="87">
        <f>H100/Income!AV100%</f>
        <v>36.44172384069519</v>
      </c>
      <c r="K100" s="144">
        <f>Income!AV100/Expenditure!BW101%</f>
        <v>157.33592231066228</v>
      </c>
    </row>
    <row r="101" spans="1:11" x14ac:dyDescent="0.25">
      <c r="A101" s="29">
        <v>1979</v>
      </c>
      <c r="B101" s="38">
        <f>Income!E101-Expenditure!U102</f>
        <v>72927</v>
      </c>
      <c r="C101" s="38">
        <f t="shared" ref="C101:C102" si="6">B101</f>
        <v>72927</v>
      </c>
      <c r="D101" s="38">
        <f>Income!I101-Expenditure!AP102</f>
        <v>126986</v>
      </c>
      <c r="E101" s="38">
        <f t="shared" si="3"/>
        <v>126986</v>
      </c>
      <c r="F101" s="38">
        <f>Income!AA101-Expenditure!AU102</f>
        <v>-56044</v>
      </c>
      <c r="G101" s="38"/>
      <c r="H101" s="38">
        <f>Income!AV101-Expenditure!BV102</f>
        <v>131008</v>
      </c>
      <c r="J101" s="87">
        <f>H101/Income!AV101%</f>
        <v>25.389196490690875</v>
      </c>
      <c r="K101" s="144">
        <f>Income!AV101/Expenditure!BW102%</f>
        <v>134.02884742760222</v>
      </c>
    </row>
    <row r="102" spans="1:11" x14ac:dyDescent="0.25">
      <c r="A102" s="29">
        <v>1980</v>
      </c>
      <c r="B102" s="38">
        <f>Income!E102-Expenditure!U103</f>
        <v>130919.21000000002</v>
      </c>
      <c r="C102" s="38">
        <f t="shared" si="6"/>
        <v>130919.21000000002</v>
      </c>
      <c r="D102" s="38">
        <f>Income!I102-Expenditure!AP103</f>
        <v>159689.95000000001</v>
      </c>
      <c r="E102" s="38">
        <f t="shared" si="3"/>
        <v>159689.95000000001</v>
      </c>
      <c r="F102" s="38">
        <f>Income!AA102-Expenditure!AU103</f>
        <v>-51837.88</v>
      </c>
      <c r="G102" s="38"/>
      <c r="H102" s="38">
        <f>Income!AV102-Expenditure!BV103</f>
        <v>28748.380000000005</v>
      </c>
      <c r="I102" t="s">
        <v>124</v>
      </c>
      <c r="J102" s="87">
        <f>H102/Income!AV102%</f>
        <v>3.7920519388699976</v>
      </c>
      <c r="K102" s="144">
        <f>Income!AV102/Expenditure!BW103%</f>
        <v>103.76853354405631</v>
      </c>
    </row>
    <row r="103" spans="1:11" x14ac:dyDescent="0.25">
      <c r="A103" s="29">
        <v>1981</v>
      </c>
      <c r="H103" s="82">
        <f>Income!AV103-Expenditure!BV104</f>
        <v>42551.930000000051</v>
      </c>
      <c r="J103" s="87">
        <f>H103/Income!AV103%</f>
        <v>5.0347358536492042</v>
      </c>
      <c r="K103" s="144">
        <f>Income!AV103/Expenditure!BW104%</f>
        <v>105.30166045333185</v>
      </c>
    </row>
    <row r="104" spans="1:11" x14ac:dyDescent="0.25">
      <c r="A104" s="29">
        <v>1982</v>
      </c>
      <c r="H104" s="82">
        <f>Income!AV104-Expenditure!BV105</f>
        <v>115123</v>
      </c>
      <c r="J104" s="87">
        <f>H104/Income!AV104%</f>
        <v>12.3562835946489</v>
      </c>
      <c r="K104" s="144">
        <f>Income!AV104/Expenditure!BW105%</f>
        <v>114.09831086749134</v>
      </c>
    </row>
    <row r="105" spans="1:11" x14ac:dyDescent="0.25">
      <c r="A105" s="29">
        <v>1983</v>
      </c>
      <c r="H105" s="82">
        <f>Income!AV105-Expenditure!BV106</f>
        <v>142406</v>
      </c>
      <c r="J105" s="87">
        <f>H105/Income!AV105%</f>
        <v>14.622030281934546</v>
      </c>
      <c r="K105" s="144">
        <f>Income!AV105/Expenditure!BW106%</f>
        <v>117.12623330142344</v>
      </c>
    </row>
    <row r="106" spans="1:11" x14ac:dyDescent="0.25">
      <c r="A106" s="29">
        <v>1984</v>
      </c>
      <c r="H106" s="82">
        <f>Income!AV106-Expenditure!BV107</f>
        <v>160232</v>
      </c>
      <c r="J106" s="87">
        <f>H106/Income!AV106%</f>
        <v>16.957436022804362</v>
      </c>
      <c r="K106" s="144">
        <f>Income!AV106/Expenditure!BW107%</f>
        <v>120.42017395737089</v>
      </c>
    </row>
    <row r="107" spans="1:11" x14ac:dyDescent="0.25">
      <c r="A107" s="29">
        <v>1985</v>
      </c>
      <c r="H107" s="82">
        <f>Income!AV107-Expenditure!BV108</f>
        <v>215220</v>
      </c>
      <c r="J107" s="87">
        <f>H107/Income!AV107%</f>
        <v>21.23276724459414</v>
      </c>
      <c r="K107" s="144">
        <f>Income!AV107/Expenditure!BW108%</f>
        <v>126.95634529973621</v>
      </c>
    </row>
    <row r="108" spans="1:11" x14ac:dyDescent="0.25">
      <c r="A108" s="29">
        <v>1986</v>
      </c>
      <c r="H108" s="82">
        <f>Income!AV108-Expenditure!BV109</f>
        <v>212732</v>
      </c>
      <c r="J108" s="87">
        <f>H108/Income!AV108%</f>
        <v>20.586635699424203</v>
      </c>
      <c r="K108" s="144">
        <f>Income!AV108/Expenditure!BW109%</f>
        <v>125.92338944551545</v>
      </c>
    </row>
    <row r="109" spans="1:11" x14ac:dyDescent="0.25">
      <c r="A109" s="29">
        <v>1987</v>
      </c>
      <c r="H109" s="127">
        <f>Income!AV109-Expenditure!BV110</f>
        <v>160981</v>
      </c>
      <c r="J109" s="87">
        <f>H109/Income!AV109%</f>
        <v>15.02122815366384</v>
      </c>
      <c r="K109" s="144">
        <f>Income!AV109/Expenditure!BW110%</f>
        <v>119.44708535023612</v>
      </c>
    </row>
    <row r="110" spans="1:11" x14ac:dyDescent="0.25">
      <c r="A110" s="29">
        <v>1988</v>
      </c>
      <c r="H110" s="82">
        <f>Income!AV110-Expenditure!BV111</f>
        <v>161407</v>
      </c>
      <c r="J110" s="87">
        <f>H110/Income!AV110%</f>
        <v>13.936719331480941</v>
      </c>
      <c r="K110" s="144">
        <f>Income!AV110/Expenditure!BW111%</f>
        <v>116.1935720126212</v>
      </c>
    </row>
    <row r="111" spans="1:11" x14ac:dyDescent="0.25">
      <c r="A111" s="29">
        <v>1989</v>
      </c>
      <c r="H111" s="82">
        <f>Income!AV111-Expenditure!BV112</f>
        <v>181222</v>
      </c>
      <c r="J111" s="87">
        <f>H111/Income!AV111%</f>
        <v>15.757283815790846</v>
      </c>
      <c r="K111" s="144">
        <f>Income!AV111/Expenditure!BW112%</f>
        <v>118.70462460082034</v>
      </c>
    </row>
    <row r="112" spans="1:11" x14ac:dyDescent="0.25">
      <c r="A112" s="29">
        <v>1990</v>
      </c>
      <c r="H112" s="82">
        <f>Income!AV112-Expenditure!BV113</f>
        <v>69185</v>
      </c>
      <c r="J112" s="87">
        <f>H112/Income!AV112%</f>
        <v>5.2457626733107183</v>
      </c>
      <c r="K112" s="144">
        <f>Income!AV112/Expenditure!BW113%</f>
        <v>105.53617740093736</v>
      </c>
    </row>
    <row r="113" spans="1:11" x14ac:dyDescent="0.25">
      <c r="A113" s="29">
        <v>1991</v>
      </c>
      <c r="B113" s="38">
        <f>Income!E113-Expenditure!U114</f>
        <v>189862</v>
      </c>
      <c r="D113" s="38">
        <f>Income!I113-Expenditure!AP114</f>
        <v>196512</v>
      </c>
      <c r="F113" s="38">
        <f>Income!AA113-Expenditure!AU114</f>
        <v>-9655</v>
      </c>
      <c r="H113" s="82">
        <f>Income!AV113-Expenditure!BV114</f>
        <v>128819</v>
      </c>
      <c r="J113" s="87">
        <f>H113/Income!AV113%</f>
        <v>18.449021329250705</v>
      </c>
      <c r="K113" s="144">
        <f>Income!AV113/Expenditure!BW114%</f>
        <v>122.62268538031415</v>
      </c>
    </row>
    <row r="114" spans="1:11" x14ac:dyDescent="0.25">
      <c r="A114" s="29">
        <v>1992</v>
      </c>
      <c r="B114" s="38">
        <f>Income!E114-Expenditure!U115</f>
        <v>339889</v>
      </c>
      <c r="D114" s="38">
        <f>Income!I114-Expenditure!AP115</f>
        <v>408504</v>
      </c>
      <c r="F114" s="38">
        <f>Income!AA114-Expenditure!AU115</f>
        <v>4423</v>
      </c>
      <c r="H114" s="82">
        <f>Income!AV114-Expenditure!BV115</f>
        <v>327556</v>
      </c>
      <c r="J114" s="87">
        <f>H114/Income!AV114%</f>
        <v>24.641666108719249</v>
      </c>
      <c r="K114" s="144">
        <f>Income!AV114/Expenditure!BW115%</f>
        <v>132.69932446259989</v>
      </c>
    </row>
    <row r="115" spans="1:11" x14ac:dyDescent="0.25">
      <c r="A115" s="29">
        <v>1993</v>
      </c>
      <c r="B115" s="38">
        <f>Income!E115-Expenditure!U116</f>
        <v>374710</v>
      </c>
      <c r="D115" s="38">
        <f>Income!I115-Expenditure!AP116</f>
        <v>433081</v>
      </c>
      <c r="F115" s="38">
        <f>Income!AA115-Expenditure!AU116</f>
        <v>2503</v>
      </c>
      <c r="H115" s="82">
        <f>Income!AV115-Expenditure!BV116</f>
        <v>361227</v>
      </c>
      <c r="J115" s="87">
        <f>H115/Income!AV115%</f>
        <v>26.022525235352258</v>
      </c>
      <c r="K115" s="144">
        <f>Income!AV115/Expenditure!BW116%</f>
        <v>135.17628212931089</v>
      </c>
    </row>
    <row r="116" spans="1:11" x14ac:dyDescent="0.25">
      <c r="A116" s="29">
        <v>1994</v>
      </c>
      <c r="H116" s="81">
        <f>Income!AV116-Expenditure!BV117</f>
        <v>320363</v>
      </c>
      <c r="J116" s="87">
        <f>H116/Income!AV116%</f>
        <v>23.924076344839225</v>
      </c>
      <c r="K116" s="144">
        <f>Income!AV116/Expenditure!BW117%</f>
        <v>131.44763178069712</v>
      </c>
    </row>
    <row r="117" spans="1:11" x14ac:dyDescent="0.25">
      <c r="A117" s="29">
        <v>1995</v>
      </c>
      <c r="H117" s="81">
        <f>Income!AV117-Expenditure!BV118</f>
        <v>354213</v>
      </c>
      <c r="J117" s="87">
        <f>H117/Income!AV117%</f>
        <v>26.181970582952484</v>
      </c>
      <c r="K117" s="144">
        <f>Income!AV117/Expenditure!BW118%</f>
        <v>135.46825997620849</v>
      </c>
    </row>
    <row r="118" spans="1:11" x14ac:dyDescent="0.25">
      <c r="A118" s="29">
        <v>1996</v>
      </c>
      <c r="H118" s="81">
        <f>Income!AV118-Expenditure!BV119</f>
        <v>250312</v>
      </c>
      <c r="J118" s="87">
        <f>H118/Income!AV118%</f>
        <v>19.148568324905714</v>
      </c>
      <c r="K118" s="144">
        <f>Income!AV118/Expenditure!BW119%</f>
        <v>123.68364780707316</v>
      </c>
    </row>
    <row r="119" spans="1:11" x14ac:dyDescent="0.25">
      <c r="A119" s="29">
        <v>1997</v>
      </c>
      <c r="H119" s="81">
        <f>Income!AV119-Expenditure!BV120</f>
        <v>162000</v>
      </c>
      <c r="J119" s="87">
        <f>H119/Income!AV119%</f>
        <v>11.964549483013293</v>
      </c>
      <c r="K119" s="144">
        <f>Income!AV119/Expenditure!BW120%</f>
        <v>113.59060402684564</v>
      </c>
    </row>
    <row r="120" spans="1:11" x14ac:dyDescent="0.25">
      <c r="A120" s="29">
        <v>1998</v>
      </c>
      <c r="H120" s="81">
        <f>Income!AV120-Expenditure!BV121</f>
        <v>333000</v>
      </c>
      <c r="J120" s="87">
        <f>H120/Income!AV120%</f>
        <v>21.595330739299612</v>
      </c>
      <c r="K120" s="144">
        <f>Income!AV120/Expenditure!BW121%</f>
        <v>127.54342431761786</v>
      </c>
    </row>
    <row r="121" spans="1:11" x14ac:dyDescent="0.25">
      <c r="A121" s="29">
        <v>1999</v>
      </c>
      <c r="H121" s="82">
        <f>Income!AV121-Expenditure!BV122</f>
        <v>283000</v>
      </c>
      <c r="J121" s="87">
        <f>H121/Income!AV121%</f>
        <v>17.821158690176322</v>
      </c>
      <c r="K121" s="144">
        <f>Income!AV121/Expenditure!BW122%</f>
        <v>121.68582375478927</v>
      </c>
    </row>
    <row r="122" spans="1:11" x14ac:dyDescent="0.25">
      <c r="A122" s="29">
        <v>2000</v>
      </c>
      <c r="H122" s="82">
        <f>Income!AV122-Expenditure!BV123</f>
        <v>298000</v>
      </c>
      <c r="J122" s="87">
        <f>H122/Income!AV122%</f>
        <v>16.713404374649468</v>
      </c>
      <c r="K122" s="144">
        <f>Income!AV122/Expenditure!BW123%</f>
        <v>120.06734006734007</v>
      </c>
    </row>
    <row r="123" spans="1:11" x14ac:dyDescent="0.25">
      <c r="A123" s="29">
        <v>2001</v>
      </c>
      <c r="H123" s="82">
        <f>Income!AV123-Expenditure!BV124</f>
        <v>241000</v>
      </c>
      <c r="J123" s="87">
        <f>H123/Income!AV123%</f>
        <v>13.59278059785674</v>
      </c>
      <c r="K123" s="144">
        <f>Income!AV123/Expenditure!BW124%</f>
        <v>115.73107049608355</v>
      </c>
    </row>
    <row r="124" spans="1:11" x14ac:dyDescent="0.25">
      <c r="A124" s="29">
        <v>2002</v>
      </c>
      <c r="H124" s="38"/>
      <c r="K124" s="144"/>
    </row>
    <row r="125" spans="1:11" x14ac:dyDescent="0.25">
      <c r="A125" s="29">
        <v>2003</v>
      </c>
      <c r="H125" s="82">
        <f>Income!AV125-Expenditure!BV126</f>
        <v>323000</v>
      </c>
      <c r="J125" s="87">
        <f>H125/Income!AV125%</f>
        <v>16.658071170706549</v>
      </c>
      <c r="K125" s="144">
        <f>Income!AV125/Expenditure!BW126%</f>
        <v>125.82738481505515</v>
      </c>
    </row>
    <row r="126" spans="1:11" x14ac:dyDescent="0.25">
      <c r="A126" s="29">
        <v>2004</v>
      </c>
      <c r="H126" s="82">
        <f>Income!AV126-Expenditure!BV127</f>
        <v>366000</v>
      </c>
      <c r="J126" s="87">
        <f>H126/Income!AV126%</f>
        <v>17.015341701534169</v>
      </c>
      <c r="K126" s="144">
        <f>Income!AV126/Expenditure!BW127%</f>
        <v>125.86307782328848</v>
      </c>
    </row>
    <row r="127" spans="1:11" x14ac:dyDescent="0.25">
      <c r="A127" s="29">
        <v>2005</v>
      </c>
      <c r="H127" s="38">
        <f>Income!AV127-Expenditure!BV128</f>
        <v>523300</v>
      </c>
      <c r="J127" s="87">
        <f>H127/Income!AV127%</f>
        <v>23.710919800634347</v>
      </c>
      <c r="K127" s="144">
        <f>Income!AV127/Expenditure!BW128%</f>
        <v>131.08035873374118</v>
      </c>
    </row>
    <row r="128" spans="1:11" x14ac:dyDescent="0.25">
      <c r="A128" s="29">
        <v>2006</v>
      </c>
      <c r="H128" s="38">
        <f>Income!AV128-Expenditure!BV129</f>
        <v>561000</v>
      </c>
      <c r="J128" s="87">
        <f>H128/Income!AV128%</f>
        <v>23.821656050955415</v>
      </c>
      <c r="K128" s="144">
        <f>Income!AV128/Expenditure!BW129%</f>
        <v>131.27090301003344</v>
      </c>
    </row>
    <row r="129" spans="1:11" x14ac:dyDescent="0.25">
      <c r="A129" s="29">
        <v>2007</v>
      </c>
      <c r="H129" s="38">
        <f>Income!AV129-Expenditure!BV130</f>
        <v>717000</v>
      </c>
      <c r="J129" s="87">
        <f>H129/Income!AV129%</f>
        <v>27.138531415594247</v>
      </c>
      <c r="K129" s="144">
        <f>Income!AV129/Expenditure!BW130%</f>
        <v>137.24675324675326</v>
      </c>
    </row>
    <row r="130" spans="1:11" x14ac:dyDescent="0.25">
      <c r="A130" s="29">
        <v>2008</v>
      </c>
      <c r="H130" s="38">
        <f>Income!AV130-Expenditure!BV131</f>
        <v>789000</v>
      </c>
      <c r="J130" s="87">
        <f>H130/Income!AV130%</f>
        <v>26.379137412236709</v>
      </c>
      <c r="K130" s="144">
        <f>Income!AV130/Expenditure!BW131%</f>
        <v>135.83106267029973</v>
      </c>
    </row>
    <row r="131" spans="1:11" x14ac:dyDescent="0.25">
      <c r="A131" s="29">
        <v>2009</v>
      </c>
      <c r="H131" s="38">
        <f>Income!AV131-Expenditure!BV132</f>
        <v>779000</v>
      </c>
      <c r="J131" s="87">
        <f>H131/Income!AV131%</f>
        <v>20.020560267283475</v>
      </c>
      <c r="K131" s="144">
        <f>Income!AV131/Expenditure!BW132%</f>
        <v>125.03213367609254</v>
      </c>
    </row>
    <row r="132" spans="1:11" x14ac:dyDescent="0.25">
      <c r="A132" s="29">
        <v>2010</v>
      </c>
      <c r="H132" s="38">
        <f>Income!AV132-Expenditure!BV133</f>
        <v>1296000</v>
      </c>
      <c r="J132" s="87">
        <f>H132/Income!AV132%</f>
        <v>30.174621653084984</v>
      </c>
      <c r="K132" s="144">
        <f>Income!AV132/Expenditure!BW133%</f>
        <v>143.21440480160052</v>
      </c>
    </row>
    <row r="133" spans="1:11" x14ac:dyDescent="0.25">
      <c r="A133" s="29">
        <v>2011</v>
      </c>
      <c r="H133" s="38">
        <f>Income!AV133-Expenditure!BV134</f>
        <v>1422000</v>
      </c>
      <c r="J133" s="87">
        <f>H133/Income!AV133%</f>
        <v>32.274171584203359</v>
      </c>
      <c r="K133" s="132">
        <f>Income!AV133/Expenditure!BW134%</f>
        <v>147.65415549597856</v>
      </c>
    </row>
    <row r="134" spans="1:11" x14ac:dyDescent="0.25">
      <c r="A134" s="29">
        <v>2012</v>
      </c>
      <c r="H134" s="38"/>
    </row>
    <row r="135" spans="1:11" x14ac:dyDescent="0.25">
      <c r="A135" s="29">
        <v>2013</v>
      </c>
      <c r="H135" s="38"/>
    </row>
    <row r="136" spans="1:11" x14ac:dyDescent="0.25">
      <c r="A136" s="29">
        <v>2014</v>
      </c>
      <c r="H136" s="38"/>
    </row>
    <row r="137" spans="1:11" x14ac:dyDescent="0.25">
      <c r="A137" s="29">
        <v>2015</v>
      </c>
      <c r="H137" s="38">
        <f>Income!AV137-Expenditure!BV137</f>
        <v>0</v>
      </c>
    </row>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2"/>
  <sheetViews>
    <sheetView workbookViewId="0">
      <selection activeCell="F113" sqref="F113"/>
    </sheetView>
  </sheetViews>
  <sheetFormatPr defaultRowHeight="15" x14ac:dyDescent="0.25"/>
  <sheetData>
    <row r="1" spans="1:5" x14ac:dyDescent="0.25">
      <c r="A1" t="s">
        <v>0</v>
      </c>
      <c r="B1" t="s">
        <v>220</v>
      </c>
      <c r="E1" t="s">
        <v>221</v>
      </c>
    </row>
    <row r="2" spans="1:5" x14ac:dyDescent="0.25">
      <c r="A2">
        <v>1880</v>
      </c>
      <c r="B2">
        <v>1.288</v>
      </c>
    </row>
    <row r="3" spans="1:5" x14ac:dyDescent="0.25">
      <c r="A3">
        <v>1881</v>
      </c>
      <c r="B3">
        <v>1.2709999999999999</v>
      </c>
    </row>
    <row r="4" spans="1:5" x14ac:dyDescent="0.25">
      <c r="A4">
        <v>1882</v>
      </c>
      <c r="B4">
        <v>1.2729999999999999</v>
      </c>
    </row>
    <row r="5" spans="1:5" x14ac:dyDescent="0.25">
      <c r="A5">
        <v>1883</v>
      </c>
      <c r="B5">
        <v>1.2729999999999999</v>
      </c>
    </row>
    <row r="6" spans="1:5" x14ac:dyDescent="0.25">
      <c r="A6">
        <v>1884</v>
      </c>
      <c r="B6">
        <v>1.23</v>
      </c>
    </row>
    <row r="7" spans="1:5" x14ac:dyDescent="0.25">
      <c r="A7">
        <v>1885</v>
      </c>
      <c r="B7">
        <v>1.1870000000000001</v>
      </c>
    </row>
    <row r="8" spans="1:5" x14ac:dyDescent="0.25">
      <c r="A8">
        <v>1886</v>
      </c>
      <c r="B8">
        <v>1.177</v>
      </c>
    </row>
    <row r="9" spans="1:5" x14ac:dyDescent="0.25">
      <c r="A9">
        <v>1887</v>
      </c>
      <c r="B9">
        <v>1.153</v>
      </c>
    </row>
    <row r="10" spans="1:5" x14ac:dyDescent="0.25">
      <c r="A10">
        <v>1888</v>
      </c>
      <c r="B10">
        <v>1.151</v>
      </c>
    </row>
    <row r="11" spans="1:5" x14ac:dyDescent="0.25">
      <c r="A11">
        <v>1889</v>
      </c>
      <c r="B11">
        <v>1.1599999999999999</v>
      </c>
    </row>
    <row r="12" spans="1:5" x14ac:dyDescent="0.25">
      <c r="A12">
        <v>1890</v>
      </c>
      <c r="B12">
        <v>1.165</v>
      </c>
    </row>
    <row r="13" spans="1:5" x14ac:dyDescent="0.25">
      <c r="A13">
        <v>1891</v>
      </c>
      <c r="B13">
        <v>1.1739999999999999</v>
      </c>
    </row>
    <row r="14" spans="1:5" x14ac:dyDescent="0.25">
      <c r="A14">
        <v>1892</v>
      </c>
      <c r="B14">
        <v>1.179</v>
      </c>
    </row>
    <row r="15" spans="1:5" x14ac:dyDescent="0.25">
      <c r="A15">
        <v>1893</v>
      </c>
      <c r="B15">
        <v>1.1559999999999999</v>
      </c>
    </row>
    <row r="16" spans="1:5" x14ac:dyDescent="0.25">
      <c r="A16">
        <v>1894</v>
      </c>
      <c r="B16">
        <v>1.1259999999999999</v>
      </c>
    </row>
    <row r="17" spans="1:2" x14ac:dyDescent="0.25">
      <c r="A17">
        <v>1895</v>
      </c>
      <c r="B17">
        <v>1.1100000000000001</v>
      </c>
    </row>
    <row r="18" spans="1:2" x14ac:dyDescent="0.25">
      <c r="A18">
        <v>1896</v>
      </c>
      <c r="B18">
        <v>1.1080000000000001</v>
      </c>
    </row>
    <row r="19" spans="1:2" x14ac:dyDescent="0.25">
      <c r="A19">
        <v>1897</v>
      </c>
      <c r="B19">
        <v>1.1299999999999999</v>
      </c>
    </row>
    <row r="20" spans="1:2" x14ac:dyDescent="0.25">
      <c r="A20">
        <v>1898</v>
      </c>
      <c r="B20">
        <v>1.151</v>
      </c>
    </row>
    <row r="21" spans="1:2" x14ac:dyDescent="0.25">
      <c r="A21">
        <v>1899</v>
      </c>
      <c r="B21">
        <v>1.139</v>
      </c>
    </row>
    <row r="22" spans="1:2" x14ac:dyDescent="0.25">
      <c r="A22">
        <v>1900</v>
      </c>
      <c r="B22">
        <v>1.1850000000000001</v>
      </c>
    </row>
    <row r="23" spans="1:2" x14ac:dyDescent="0.25">
      <c r="A23">
        <v>1901</v>
      </c>
      <c r="B23">
        <v>1.181</v>
      </c>
    </row>
    <row r="24" spans="1:2" x14ac:dyDescent="0.25">
      <c r="A24">
        <v>1902</v>
      </c>
      <c r="B24">
        <v>1.181</v>
      </c>
    </row>
    <row r="25" spans="1:2" x14ac:dyDescent="0.25">
      <c r="A25">
        <v>1903</v>
      </c>
      <c r="B25">
        <v>1.194</v>
      </c>
    </row>
    <row r="26" spans="1:2" x14ac:dyDescent="0.25">
      <c r="A26">
        <v>1904</v>
      </c>
      <c r="B26">
        <v>1.19</v>
      </c>
    </row>
    <row r="27" spans="1:2" x14ac:dyDescent="0.25">
      <c r="A27">
        <v>1905</v>
      </c>
      <c r="B27">
        <v>1.194</v>
      </c>
    </row>
    <row r="28" spans="1:2" x14ac:dyDescent="0.25">
      <c r="A28">
        <v>1906</v>
      </c>
      <c r="B28">
        <v>1.1919999999999999</v>
      </c>
    </row>
    <row r="29" spans="1:2" x14ac:dyDescent="0.25">
      <c r="A29">
        <v>1907</v>
      </c>
      <c r="B29">
        <v>1.212</v>
      </c>
    </row>
    <row r="30" spans="1:2" x14ac:dyDescent="0.25">
      <c r="A30">
        <v>1908</v>
      </c>
      <c r="B30">
        <v>1.228</v>
      </c>
    </row>
    <row r="31" spans="1:2" x14ac:dyDescent="0.25">
      <c r="A31">
        <v>1909</v>
      </c>
      <c r="B31">
        <v>1.23</v>
      </c>
    </row>
    <row r="32" spans="1:2" x14ac:dyDescent="0.25">
      <c r="A32">
        <v>1910</v>
      </c>
      <c r="B32">
        <v>1.256</v>
      </c>
    </row>
    <row r="33" spans="1:2" x14ac:dyDescent="0.25">
      <c r="A33">
        <v>1911</v>
      </c>
      <c r="B33">
        <v>1.2589999999999999</v>
      </c>
    </row>
    <row r="34" spans="1:2" x14ac:dyDescent="0.25">
      <c r="A34">
        <v>1912</v>
      </c>
      <c r="B34">
        <v>1.2949999999999999</v>
      </c>
    </row>
    <row r="35" spans="1:2" x14ac:dyDescent="0.25">
      <c r="A35">
        <v>1913</v>
      </c>
      <c r="B35">
        <v>1.3029999999999999</v>
      </c>
    </row>
    <row r="36" spans="1:2" x14ac:dyDescent="0.25">
      <c r="A36">
        <v>1914</v>
      </c>
      <c r="B36">
        <v>1.3360000000000001</v>
      </c>
    </row>
    <row r="37" spans="1:2" x14ac:dyDescent="0.25">
      <c r="A37">
        <v>1915</v>
      </c>
      <c r="B37">
        <v>1.6</v>
      </c>
    </row>
    <row r="38" spans="1:2" x14ac:dyDescent="0.25">
      <c r="A38">
        <v>1916</v>
      </c>
      <c r="B38">
        <v>1.891</v>
      </c>
    </row>
    <row r="39" spans="1:2" x14ac:dyDescent="0.25">
      <c r="A39">
        <v>1917</v>
      </c>
      <c r="B39">
        <v>2.2879999999999998</v>
      </c>
    </row>
    <row r="40" spans="1:2" x14ac:dyDescent="0.25">
      <c r="A40">
        <v>1918</v>
      </c>
      <c r="B40">
        <v>2.6320000000000001</v>
      </c>
    </row>
    <row r="41" spans="1:2" x14ac:dyDescent="0.25">
      <c r="A41">
        <v>1919</v>
      </c>
      <c r="B41">
        <v>2.79</v>
      </c>
    </row>
    <row r="42" spans="1:2" x14ac:dyDescent="0.25">
      <c r="A42">
        <v>1920</v>
      </c>
      <c r="B42">
        <v>3.1920000000000002</v>
      </c>
    </row>
    <row r="43" spans="1:2" x14ac:dyDescent="0.25">
      <c r="A43">
        <v>1921</v>
      </c>
      <c r="B43">
        <v>2.89</v>
      </c>
    </row>
    <row r="44" spans="1:2" x14ac:dyDescent="0.25">
      <c r="A44">
        <v>1922</v>
      </c>
      <c r="B44">
        <v>2.3479999999999999</v>
      </c>
    </row>
    <row r="45" spans="1:2" x14ac:dyDescent="0.25">
      <c r="A45">
        <v>1923</v>
      </c>
      <c r="B45">
        <v>2.2480000000000002</v>
      </c>
    </row>
    <row r="46" spans="1:2" x14ac:dyDescent="0.25">
      <c r="A46">
        <v>1924</v>
      </c>
      <c r="B46">
        <v>2.2480000000000002</v>
      </c>
    </row>
    <row r="47" spans="1:2" x14ac:dyDescent="0.25">
      <c r="A47">
        <v>1925</v>
      </c>
      <c r="B47">
        <v>2.2480000000000002</v>
      </c>
    </row>
    <row r="48" spans="1:2" x14ac:dyDescent="0.25">
      <c r="A48">
        <v>1926</v>
      </c>
      <c r="B48">
        <v>2.2090000000000001</v>
      </c>
    </row>
    <row r="49" spans="1:2" x14ac:dyDescent="0.25">
      <c r="A49">
        <v>1927</v>
      </c>
      <c r="B49">
        <v>2.1480000000000001</v>
      </c>
    </row>
    <row r="50" spans="1:2" x14ac:dyDescent="0.25">
      <c r="A50">
        <v>1928</v>
      </c>
      <c r="B50">
        <v>2.1280000000000001</v>
      </c>
    </row>
    <row r="51" spans="1:2" x14ac:dyDescent="0.25">
      <c r="A51">
        <v>1929</v>
      </c>
      <c r="B51">
        <v>2.109</v>
      </c>
    </row>
    <row r="52" spans="1:2" x14ac:dyDescent="0.25">
      <c r="A52">
        <v>1930</v>
      </c>
      <c r="B52">
        <v>2.028</v>
      </c>
    </row>
    <row r="53" spans="1:2" x14ac:dyDescent="0.25">
      <c r="A53">
        <v>1931</v>
      </c>
      <c r="B53">
        <v>1.887</v>
      </c>
    </row>
    <row r="54" spans="1:2" x14ac:dyDescent="0.25">
      <c r="A54">
        <v>1932</v>
      </c>
      <c r="B54">
        <v>1.847</v>
      </c>
    </row>
    <row r="55" spans="1:2" x14ac:dyDescent="0.25">
      <c r="A55">
        <v>1933</v>
      </c>
      <c r="B55">
        <v>1.806</v>
      </c>
    </row>
    <row r="56" spans="1:2" x14ac:dyDescent="0.25">
      <c r="A56">
        <v>1934</v>
      </c>
      <c r="B56">
        <v>1.806</v>
      </c>
    </row>
    <row r="57" spans="1:2" x14ac:dyDescent="0.25">
      <c r="A57">
        <v>1935</v>
      </c>
      <c r="B57">
        <v>1.847</v>
      </c>
    </row>
    <row r="58" spans="1:2" x14ac:dyDescent="0.25">
      <c r="A58">
        <v>1936</v>
      </c>
      <c r="B58">
        <v>1.887</v>
      </c>
    </row>
    <row r="59" spans="1:2" x14ac:dyDescent="0.25">
      <c r="A59">
        <v>1937</v>
      </c>
      <c r="B59">
        <v>1.9870000000000001</v>
      </c>
    </row>
    <row r="60" spans="1:2" x14ac:dyDescent="0.25">
      <c r="A60">
        <v>1938</v>
      </c>
      <c r="B60">
        <v>2.008</v>
      </c>
    </row>
    <row r="61" spans="1:2" x14ac:dyDescent="0.25">
      <c r="A61">
        <v>1939</v>
      </c>
      <c r="B61">
        <v>2.0680000000000001</v>
      </c>
    </row>
    <row r="62" spans="1:2" x14ac:dyDescent="0.25">
      <c r="A62">
        <v>1940</v>
      </c>
      <c r="B62">
        <v>2.3479999999999999</v>
      </c>
    </row>
    <row r="63" spans="1:2" x14ac:dyDescent="0.25">
      <c r="A63">
        <v>1941</v>
      </c>
      <c r="B63">
        <v>2.589</v>
      </c>
    </row>
    <row r="64" spans="1:2" x14ac:dyDescent="0.25">
      <c r="A64">
        <v>1942</v>
      </c>
      <c r="B64">
        <v>2.7509999999999999</v>
      </c>
    </row>
    <row r="65" spans="1:2" x14ac:dyDescent="0.25">
      <c r="A65">
        <v>1943</v>
      </c>
      <c r="B65">
        <v>2.851</v>
      </c>
    </row>
    <row r="66" spans="1:2" x14ac:dyDescent="0.25">
      <c r="A66">
        <v>1944</v>
      </c>
      <c r="B66">
        <v>2.911</v>
      </c>
    </row>
    <row r="67" spans="1:2" x14ac:dyDescent="0.25">
      <c r="A67">
        <v>1945</v>
      </c>
      <c r="B67">
        <v>2.9710000000000001</v>
      </c>
    </row>
    <row r="68" spans="1:2" x14ac:dyDescent="0.25">
      <c r="A68">
        <v>1946</v>
      </c>
      <c r="B68">
        <v>3.0910000000000002</v>
      </c>
    </row>
    <row r="69" spans="1:2" x14ac:dyDescent="0.25">
      <c r="A69">
        <v>1947</v>
      </c>
      <c r="B69">
        <v>3.2770000000000001</v>
      </c>
    </row>
    <row r="70" spans="1:2" x14ac:dyDescent="0.25">
      <c r="A70">
        <v>1948</v>
      </c>
      <c r="B70">
        <v>3.5259999999999998</v>
      </c>
    </row>
    <row r="71" spans="1:2" x14ac:dyDescent="0.25">
      <c r="A71">
        <v>1949</v>
      </c>
      <c r="B71">
        <v>3.629</v>
      </c>
    </row>
    <row r="72" spans="1:2" x14ac:dyDescent="0.25">
      <c r="A72">
        <v>1950</v>
      </c>
      <c r="B72">
        <v>3.742</v>
      </c>
    </row>
    <row r="73" spans="1:2" x14ac:dyDescent="0.25">
      <c r="A73">
        <v>1951</v>
      </c>
      <c r="B73">
        <v>4.0819999999999999</v>
      </c>
    </row>
    <row r="74" spans="1:2" x14ac:dyDescent="0.25">
      <c r="A74">
        <v>1952</v>
      </c>
      <c r="B74">
        <v>4.4560000000000004</v>
      </c>
    </row>
    <row r="75" spans="1:2" x14ac:dyDescent="0.25">
      <c r="A75">
        <v>1953</v>
      </c>
      <c r="B75">
        <v>4.5919999999999996</v>
      </c>
    </row>
    <row r="76" spans="1:2" x14ac:dyDescent="0.25">
      <c r="A76">
        <v>1954</v>
      </c>
      <c r="B76">
        <v>4.6829999999999998</v>
      </c>
    </row>
    <row r="77" spans="1:2" x14ac:dyDescent="0.25">
      <c r="A77">
        <v>1955</v>
      </c>
      <c r="B77">
        <v>4.8869999999999996</v>
      </c>
    </row>
    <row r="78" spans="1:2" x14ac:dyDescent="0.25">
      <c r="A78">
        <v>1956</v>
      </c>
      <c r="B78">
        <v>5.1369999999999996</v>
      </c>
    </row>
    <row r="79" spans="1:2" x14ac:dyDescent="0.25">
      <c r="A79">
        <v>1957</v>
      </c>
      <c r="B79">
        <v>5.3179999999999996</v>
      </c>
    </row>
    <row r="80" spans="1:2" x14ac:dyDescent="0.25">
      <c r="A80">
        <v>1958</v>
      </c>
      <c r="B80">
        <v>5.4880000000000004</v>
      </c>
    </row>
    <row r="81" spans="1:2" x14ac:dyDescent="0.25">
      <c r="A81">
        <v>1959</v>
      </c>
      <c r="B81">
        <v>5.5110000000000001</v>
      </c>
    </row>
    <row r="82" spans="1:2" x14ac:dyDescent="0.25">
      <c r="A82">
        <v>1960</v>
      </c>
      <c r="B82">
        <v>5.5679999999999996</v>
      </c>
    </row>
    <row r="83" spans="1:2" x14ac:dyDescent="0.25">
      <c r="A83">
        <v>1961</v>
      </c>
      <c r="B83">
        <v>5.76</v>
      </c>
    </row>
    <row r="84" spans="1:2" x14ac:dyDescent="0.25">
      <c r="A84">
        <v>1962</v>
      </c>
      <c r="B84">
        <v>6.01</v>
      </c>
    </row>
    <row r="85" spans="1:2" x14ac:dyDescent="0.25">
      <c r="A85">
        <v>1963</v>
      </c>
      <c r="B85">
        <v>6.1230000000000002</v>
      </c>
    </row>
    <row r="86" spans="1:2" x14ac:dyDescent="0.25">
      <c r="A86">
        <v>1964</v>
      </c>
      <c r="B86">
        <v>6.327</v>
      </c>
    </row>
    <row r="87" spans="1:2" x14ac:dyDescent="0.25">
      <c r="A87">
        <v>1965</v>
      </c>
      <c r="B87">
        <v>6.6219999999999999</v>
      </c>
    </row>
    <row r="88" spans="1:2" x14ac:dyDescent="0.25">
      <c r="A88">
        <v>1966</v>
      </c>
      <c r="B88">
        <v>6.883</v>
      </c>
    </row>
    <row r="89" spans="1:2" x14ac:dyDescent="0.25">
      <c r="A89">
        <v>1967</v>
      </c>
      <c r="B89">
        <v>7.0640000000000001</v>
      </c>
    </row>
    <row r="90" spans="1:2" x14ac:dyDescent="0.25">
      <c r="A90">
        <v>1968</v>
      </c>
      <c r="B90">
        <v>7.3929999999999998</v>
      </c>
    </row>
    <row r="91" spans="1:2" x14ac:dyDescent="0.25">
      <c r="A91">
        <v>1969</v>
      </c>
      <c r="B91">
        <v>7.79</v>
      </c>
    </row>
    <row r="92" spans="1:2" x14ac:dyDescent="0.25">
      <c r="A92">
        <v>1970</v>
      </c>
      <c r="B92">
        <v>8.2889999999999997</v>
      </c>
    </row>
    <row r="93" spans="1:2" x14ac:dyDescent="0.25">
      <c r="A93">
        <v>1971</v>
      </c>
      <c r="B93">
        <v>9.0709999999999997</v>
      </c>
    </row>
    <row r="94" spans="1:2" x14ac:dyDescent="0.25">
      <c r="A94">
        <v>1972</v>
      </c>
      <c r="B94">
        <v>9.718</v>
      </c>
    </row>
    <row r="95" spans="1:2" x14ac:dyDescent="0.25">
      <c r="A95">
        <v>1973</v>
      </c>
      <c r="B95">
        <v>10.602</v>
      </c>
    </row>
    <row r="96" spans="1:2" x14ac:dyDescent="0.25">
      <c r="A96">
        <v>1974</v>
      </c>
      <c r="B96">
        <v>12.303000000000001</v>
      </c>
    </row>
    <row r="97" spans="1:2" x14ac:dyDescent="0.25">
      <c r="A97">
        <v>1975</v>
      </c>
      <c r="B97">
        <v>15.285</v>
      </c>
    </row>
    <row r="98" spans="1:2" x14ac:dyDescent="0.25">
      <c r="A98">
        <v>1976</v>
      </c>
      <c r="B98">
        <v>17.814</v>
      </c>
    </row>
    <row r="99" spans="1:2" x14ac:dyDescent="0.25">
      <c r="A99">
        <v>1977</v>
      </c>
      <c r="B99">
        <v>20.637</v>
      </c>
    </row>
    <row r="100" spans="1:2" x14ac:dyDescent="0.25">
      <c r="A100">
        <v>1978</v>
      </c>
      <c r="B100">
        <v>22.349</v>
      </c>
    </row>
    <row r="101" spans="1:2" x14ac:dyDescent="0.25">
      <c r="A101">
        <v>1979</v>
      </c>
      <c r="B101">
        <v>25.343</v>
      </c>
    </row>
    <row r="102" spans="1:2" x14ac:dyDescent="0.25">
      <c r="A102">
        <v>1980</v>
      </c>
      <c r="B102">
        <v>29.901</v>
      </c>
    </row>
    <row r="103" spans="1:2" x14ac:dyDescent="0.25">
      <c r="A103">
        <v>1981</v>
      </c>
      <c r="B103">
        <v>33.451000000000001</v>
      </c>
    </row>
    <row r="104" spans="1:2" x14ac:dyDescent="0.25">
      <c r="A104">
        <v>1982</v>
      </c>
      <c r="B104">
        <v>36.331000000000003</v>
      </c>
    </row>
    <row r="105" spans="1:2" x14ac:dyDescent="0.25">
      <c r="A105">
        <v>1983</v>
      </c>
      <c r="B105">
        <v>37.997999999999998</v>
      </c>
    </row>
    <row r="106" spans="1:2" x14ac:dyDescent="0.25">
      <c r="A106">
        <v>1984</v>
      </c>
      <c r="B106">
        <v>39.890999999999998</v>
      </c>
    </row>
    <row r="107" spans="1:2" x14ac:dyDescent="0.25">
      <c r="A107">
        <v>1985</v>
      </c>
      <c r="B107">
        <v>42.317999999999998</v>
      </c>
    </row>
    <row r="108" spans="1:2" x14ac:dyDescent="0.25">
      <c r="A108">
        <v>1986</v>
      </c>
      <c r="B108">
        <v>43.758000000000003</v>
      </c>
    </row>
    <row r="109" spans="1:2" x14ac:dyDescent="0.25">
      <c r="A109">
        <v>1987</v>
      </c>
      <c r="B109">
        <v>45.582999999999998</v>
      </c>
    </row>
    <row r="110" spans="1:2" x14ac:dyDescent="0.25">
      <c r="A110">
        <v>1988</v>
      </c>
      <c r="B110">
        <v>47.817</v>
      </c>
    </row>
    <row r="111" spans="1:2" x14ac:dyDescent="0.25">
      <c r="A111">
        <v>1989</v>
      </c>
      <c r="B111">
        <v>51.536000000000001</v>
      </c>
    </row>
    <row r="112" spans="1:2" x14ac:dyDescent="0.25">
      <c r="A112">
        <v>1990</v>
      </c>
      <c r="B112">
        <v>56.411999999999999</v>
      </c>
    </row>
    <row r="113" spans="1:2" x14ac:dyDescent="0.25">
      <c r="A113">
        <v>1991</v>
      </c>
      <c r="B113">
        <v>59.722999999999999</v>
      </c>
    </row>
    <row r="114" spans="1:2" x14ac:dyDescent="0.25">
      <c r="A114">
        <v>1992</v>
      </c>
      <c r="B114">
        <v>61.957000000000001</v>
      </c>
    </row>
    <row r="115" spans="1:2" x14ac:dyDescent="0.25">
      <c r="A115">
        <v>1993</v>
      </c>
      <c r="B115">
        <v>62.944000000000003</v>
      </c>
    </row>
    <row r="116" spans="1:2" x14ac:dyDescent="0.25">
      <c r="A116">
        <v>1994</v>
      </c>
      <c r="B116">
        <v>64.462999999999994</v>
      </c>
    </row>
    <row r="117" spans="1:2" x14ac:dyDescent="0.25">
      <c r="A117">
        <v>1995</v>
      </c>
      <c r="B117">
        <v>66.697000000000003</v>
      </c>
    </row>
    <row r="118" spans="1:2" x14ac:dyDescent="0.25">
      <c r="A118">
        <v>1996</v>
      </c>
      <c r="B118">
        <v>68.307000000000002</v>
      </c>
    </row>
    <row r="119" spans="1:2" x14ac:dyDescent="0.25">
      <c r="A119">
        <v>1997</v>
      </c>
      <c r="B119">
        <v>70.45</v>
      </c>
    </row>
    <row r="120" spans="1:2" x14ac:dyDescent="0.25">
      <c r="A120">
        <v>1998</v>
      </c>
      <c r="B120">
        <v>72.864999999999995</v>
      </c>
    </row>
    <row r="121" spans="1:2" x14ac:dyDescent="0.25">
      <c r="A121">
        <v>1999</v>
      </c>
      <c r="B121">
        <v>73.988</v>
      </c>
    </row>
    <row r="122" spans="1:2" x14ac:dyDescent="0.25">
      <c r="A122">
        <v>2000</v>
      </c>
      <c r="B122">
        <v>76.176000000000002</v>
      </c>
    </row>
    <row r="123" spans="1:2" x14ac:dyDescent="0.25">
      <c r="A123">
        <v>2001</v>
      </c>
      <c r="B123">
        <v>77.525999999999996</v>
      </c>
    </row>
    <row r="124" spans="1:2" x14ac:dyDescent="0.25">
      <c r="A124">
        <v>2002</v>
      </c>
      <c r="B124">
        <v>78.817999999999998</v>
      </c>
    </row>
    <row r="125" spans="1:2" x14ac:dyDescent="0.25">
      <c r="A125">
        <v>2003</v>
      </c>
      <c r="B125">
        <v>81.097999999999999</v>
      </c>
    </row>
    <row r="126" spans="1:2" x14ac:dyDescent="0.25">
      <c r="A126">
        <v>2004</v>
      </c>
      <c r="B126">
        <v>83.513000000000005</v>
      </c>
    </row>
    <row r="127" spans="1:2" x14ac:dyDescent="0.25">
      <c r="A127">
        <v>2005</v>
      </c>
      <c r="B127">
        <v>85.870999999999995</v>
      </c>
    </row>
    <row r="128" spans="1:2" x14ac:dyDescent="0.25">
      <c r="A128">
        <v>2006</v>
      </c>
      <c r="B128">
        <v>88.614999999999995</v>
      </c>
    </row>
    <row r="129" spans="1:2" x14ac:dyDescent="0.25">
      <c r="A129">
        <v>2007</v>
      </c>
      <c r="B129">
        <v>92.414000000000001</v>
      </c>
    </row>
    <row r="130" spans="1:2" x14ac:dyDescent="0.25">
      <c r="A130">
        <v>2008</v>
      </c>
      <c r="B130">
        <v>96.081999999999994</v>
      </c>
    </row>
    <row r="131" spans="1:2" x14ac:dyDescent="0.25">
      <c r="A131">
        <v>2009</v>
      </c>
      <c r="B131">
        <v>95.588999999999999</v>
      </c>
    </row>
    <row r="132" spans="1:2" x14ac:dyDescent="0.25">
      <c r="A132">
        <v>2010</v>
      </c>
      <c r="B132">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Income</vt:lpstr>
      <vt:lpstr>Expenditure</vt:lpstr>
      <vt:lpstr>Inc-Exp1880-2010</vt:lpstr>
      <vt:lpstr>Surplus_deficit</vt:lpstr>
      <vt:lpstr>RPI_1880-2010</vt:lpstr>
    </vt:vector>
  </TitlesOfParts>
  <Company>University of St Andrews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 Fyfe</dc:creator>
  <cp:lastModifiedBy>Aileen Fyfe</cp:lastModifiedBy>
  <dcterms:created xsi:type="dcterms:W3CDTF">2018-09-14T09:14:40Z</dcterms:created>
  <dcterms:modified xsi:type="dcterms:W3CDTF">2022-10-03T14:20:27Z</dcterms:modified>
</cp:coreProperties>
</file>