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autoCompressPictures="0" defaultThemeVersion="124226"/>
  <mc:AlternateContent xmlns:mc="http://schemas.openxmlformats.org/markup-compatibility/2006">
    <mc:Choice Requires="x15">
      <x15ac:absPath xmlns:x15ac="http://schemas.microsoft.com/office/spreadsheetml/2010/11/ac" url="C:\Users\akf\Dropbox\Phil Trans Archive\Statistical Spreadsheets\Dataseries individually\"/>
    </mc:Choice>
  </mc:AlternateContent>
  <xr:revisionPtr revIDLastSave="0" documentId="13_ncr:1_{CFB4990A-9DBC-40A8-A84C-FF781C1DA8B3}" xr6:coauthVersionLast="47" xr6:coauthVersionMax="47" xr10:uidLastSave="{00000000-0000-0000-0000-000000000000}"/>
  <bookViews>
    <workbookView xWindow="-120" yWindow="-120" windowWidth="29040" windowHeight="15840" xr2:uid="{00000000-000D-0000-FFFF-FFFF00000000}"/>
  </bookViews>
  <sheets>
    <sheet name="README" sheetId="2" r:id="rId1"/>
    <sheet name="1765-2010 Annual Accounts" sheetId="1" r:id="rId2"/>
    <sheet name="1765-1920 summary table" sheetId="3" r:id="rId3"/>
    <sheet name="1880-2010 summary table" sheetId="5" r:id="rId4"/>
    <sheet name="1880-2010 RPI adjusted"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3" l="1"/>
  <c r="F7" i="3"/>
  <c r="N6" i="3"/>
  <c r="M6" i="3"/>
  <c r="L6" i="3"/>
  <c r="K6" i="3"/>
  <c r="J6" i="3"/>
  <c r="I6" i="3"/>
  <c r="H6" i="3"/>
  <c r="G6" i="3"/>
  <c r="F6" i="3"/>
  <c r="E6" i="3"/>
  <c r="D6" i="3"/>
  <c r="C6" i="3"/>
  <c r="N11" i="5"/>
  <c r="N8" i="5"/>
  <c r="N10" i="6" s="1"/>
  <c r="CE17" i="1"/>
  <c r="CC17" i="1"/>
  <c r="L31" i="6"/>
  <c r="L23" i="6"/>
  <c r="L22" i="6"/>
  <c r="L21" i="6"/>
  <c r="L20" i="6"/>
  <c r="L19" i="6"/>
  <c r="L18" i="6"/>
  <c r="L17" i="6"/>
  <c r="L14" i="6"/>
  <c r="L13" i="6"/>
  <c r="L12" i="6"/>
  <c r="L11" i="6"/>
  <c r="L10" i="6"/>
  <c r="L9" i="6"/>
  <c r="L8" i="6"/>
  <c r="L7" i="6"/>
  <c r="L6" i="6"/>
  <c r="J6" i="6"/>
  <c r="L28" i="5"/>
  <c r="L4" i="5"/>
  <c r="L5" i="5"/>
  <c r="L41" i="5"/>
  <c r="L29" i="5"/>
  <c r="L21" i="5"/>
  <c r="L19" i="5"/>
  <c r="L18" i="5"/>
  <c r="L17" i="5"/>
  <c r="L16" i="5"/>
  <c r="L15" i="5"/>
  <c r="L12" i="5"/>
  <c r="L9" i="5"/>
  <c r="L8" i="5"/>
  <c r="L7" i="5"/>
  <c r="L6" i="5"/>
  <c r="BW26" i="1"/>
  <c r="L24" i="5" s="1"/>
  <c r="BW47" i="1"/>
  <c r="BW33" i="1"/>
  <c r="BW37" i="1" s="1"/>
  <c r="BW24" i="1"/>
  <c r="L24" i="6" s="1"/>
  <c r="BW15" i="1"/>
  <c r="CC6" i="1"/>
  <c r="CC11" i="1"/>
  <c r="N9" i="5" s="1"/>
  <c r="CC21" i="1"/>
  <c r="CC22" i="1"/>
  <c r="N20" i="5" s="1"/>
  <c r="N22" i="6" s="1"/>
  <c r="CC33" i="1"/>
  <c r="CC47" i="1"/>
  <c r="N32" i="5"/>
  <c r="N34" i="6"/>
  <c r="N31" i="6"/>
  <c r="N24" i="5"/>
  <c r="N26" i="6"/>
  <c r="N21" i="5"/>
  <c r="N23" i="6" s="1"/>
  <c r="N19" i="5"/>
  <c r="N21" i="6" s="1"/>
  <c r="N18" i="5"/>
  <c r="N20" i="6"/>
  <c r="N17" i="5"/>
  <c r="N19" i="6" s="1"/>
  <c r="N16" i="5"/>
  <c r="N18" i="6" s="1"/>
  <c r="N12" i="5"/>
  <c r="N14" i="6" s="1"/>
  <c r="N13" i="6"/>
  <c r="N10" i="5"/>
  <c r="N12" i="6" s="1"/>
  <c r="N11" i="6"/>
  <c r="N7" i="5"/>
  <c r="N9" i="6" s="1"/>
  <c r="N6" i="5"/>
  <c r="N8" i="6" s="1"/>
  <c r="N5" i="5"/>
  <c r="N7" i="6" s="1"/>
  <c r="N36" i="5"/>
  <c r="N41" i="5"/>
  <c r="CG10" i="1"/>
  <c r="CG11" i="1"/>
  <c r="CG17" i="1"/>
  <c r="O17" i="6" s="1"/>
  <c r="CG21" i="1"/>
  <c r="CG22" i="1" s="1"/>
  <c r="CG49" i="1"/>
  <c r="O34" i="5" s="1"/>
  <c r="CG51" i="1"/>
  <c r="CG48" i="1"/>
  <c r="O35" i="6" s="1"/>
  <c r="O34" i="6"/>
  <c r="CG37" i="1"/>
  <c r="O32" i="6" s="1"/>
  <c r="O30" i="6"/>
  <c r="O26" i="6"/>
  <c r="O23" i="6"/>
  <c r="O22" i="6"/>
  <c r="O21" i="6"/>
  <c r="O20" i="6"/>
  <c r="O19" i="6"/>
  <c r="O18" i="6"/>
  <c r="O14" i="6"/>
  <c r="O13" i="6"/>
  <c r="O12" i="6"/>
  <c r="O10" i="6"/>
  <c r="O9" i="6"/>
  <c r="O8" i="6"/>
  <c r="O7" i="6"/>
  <c r="O6" i="6"/>
  <c r="BY7" i="1"/>
  <c r="M5" i="5" s="1"/>
  <c r="BY8" i="1"/>
  <c r="M8" i="6" s="1"/>
  <c r="BY9" i="1"/>
  <c r="BY17" i="1"/>
  <c r="BY20" i="1"/>
  <c r="M20" i="6" s="1"/>
  <c r="BY22" i="1"/>
  <c r="BY23" i="1"/>
  <c r="BY33" i="1"/>
  <c r="M28" i="5" s="1"/>
  <c r="BY42" i="1"/>
  <c r="BY46" i="1"/>
  <c r="M26" i="6"/>
  <c r="M23" i="6"/>
  <c r="M22" i="6"/>
  <c r="M21" i="6"/>
  <c r="M19" i="6"/>
  <c r="M18" i="6"/>
  <c r="M17" i="6"/>
  <c r="M14" i="6"/>
  <c r="M13" i="6"/>
  <c r="M12" i="6"/>
  <c r="M11" i="6"/>
  <c r="M10" i="6"/>
  <c r="M9" i="6"/>
  <c r="M6" i="6"/>
  <c r="BV15" i="1"/>
  <c r="BV25" i="1" s="1"/>
  <c r="BV27" i="1" s="1"/>
  <c r="BV24" i="1"/>
  <c r="BV26" i="1"/>
  <c r="BV33" i="1"/>
  <c r="BV37" i="1" s="1"/>
  <c r="BV47" i="1"/>
  <c r="AH6" i="1"/>
  <c r="AH7" i="1"/>
  <c r="AK7" i="1" s="1"/>
  <c r="J5" i="3" s="1"/>
  <c r="AH17" i="1"/>
  <c r="AK17" i="1" s="1"/>
  <c r="J14" i="3" s="1"/>
  <c r="AH19" i="1"/>
  <c r="AH33" i="1"/>
  <c r="AH36" i="1"/>
  <c r="AH37" i="1"/>
  <c r="AH47" i="1"/>
  <c r="AI7" i="1"/>
  <c r="AI17" i="1"/>
  <c r="AI19" i="1"/>
  <c r="AI33" i="1"/>
  <c r="AI36" i="1"/>
  <c r="AI47" i="1"/>
  <c r="AJ7" i="1"/>
  <c r="AJ15" i="1"/>
  <c r="AJ17" i="1"/>
  <c r="AJ19" i="1"/>
  <c r="AJ33" i="1"/>
  <c r="AJ36" i="1"/>
  <c r="AJ47" i="1"/>
  <c r="B26" i="6"/>
  <c r="AK23" i="1"/>
  <c r="B23" i="6" s="1"/>
  <c r="B22" i="6"/>
  <c r="AK21" i="1"/>
  <c r="B21" i="6" s="1"/>
  <c r="AK20" i="1"/>
  <c r="AK18" i="1"/>
  <c r="B18" i="6" s="1"/>
  <c r="AK14" i="1"/>
  <c r="B14" i="6" s="1"/>
  <c r="B13" i="6"/>
  <c r="B12" i="6"/>
  <c r="AK11" i="1"/>
  <c r="B11" i="6" s="1"/>
  <c r="AK10" i="1"/>
  <c r="AK9" i="1"/>
  <c r="B9" i="6" s="1"/>
  <c r="AK8" i="1"/>
  <c r="B8" i="6" s="1"/>
  <c r="AL6" i="1"/>
  <c r="AL7" i="1"/>
  <c r="AL8" i="1"/>
  <c r="AO8" i="1" s="1"/>
  <c r="C6" i="5" s="1"/>
  <c r="AL17" i="1"/>
  <c r="AL23" i="1"/>
  <c r="AL30" i="1"/>
  <c r="AL33" i="1" s="1"/>
  <c r="AL36" i="1"/>
  <c r="AO36" i="1" s="1"/>
  <c r="C31" i="6" s="1"/>
  <c r="AL47" i="1"/>
  <c r="AM7" i="1"/>
  <c r="AM8" i="1"/>
  <c r="AM17" i="1"/>
  <c r="AM24" i="1" s="1"/>
  <c r="AM23" i="1"/>
  <c r="AM30" i="1"/>
  <c r="AM33" i="1" s="1"/>
  <c r="AM36" i="1"/>
  <c r="AM47" i="1"/>
  <c r="AN7" i="1"/>
  <c r="AN8" i="1"/>
  <c r="AN17" i="1"/>
  <c r="AN24" i="1" s="1"/>
  <c r="AN30" i="1"/>
  <c r="AN33" i="1" s="1"/>
  <c r="AN36" i="1"/>
  <c r="AN47" i="1"/>
  <c r="C26" i="6"/>
  <c r="AO23" i="1"/>
  <c r="C23" i="6" s="1"/>
  <c r="C22" i="6"/>
  <c r="AO21" i="1"/>
  <c r="C21" i="6"/>
  <c r="AO20" i="1"/>
  <c r="C20" i="6" s="1"/>
  <c r="AO19" i="1"/>
  <c r="C19" i="6" s="1"/>
  <c r="AO18" i="1"/>
  <c r="AO14" i="1"/>
  <c r="C14" i="6" s="1"/>
  <c r="C13" i="6"/>
  <c r="C12" i="6"/>
  <c r="AO11" i="1"/>
  <c r="AO10" i="1"/>
  <c r="C8" i="5" s="1"/>
  <c r="C10" i="6"/>
  <c r="AO9" i="1"/>
  <c r="C9" i="6" s="1"/>
  <c r="AP15" i="1"/>
  <c r="AP17" i="1"/>
  <c r="AP33" i="1"/>
  <c r="AP36" i="1"/>
  <c r="AP47" i="1"/>
  <c r="AQ15" i="1"/>
  <c r="AQ17" i="1"/>
  <c r="AQ24" i="1" s="1"/>
  <c r="AQ33" i="1"/>
  <c r="AQ36" i="1"/>
  <c r="AQ47" i="1"/>
  <c r="AR15" i="1"/>
  <c r="AR17" i="1"/>
  <c r="AR24" i="1" s="1"/>
  <c r="AR33" i="1"/>
  <c r="AR36" i="1"/>
  <c r="AR47" i="1"/>
  <c r="D26" i="6"/>
  <c r="AS23" i="1"/>
  <c r="D23" i="6" s="1"/>
  <c r="D22" i="6"/>
  <c r="AS21" i="1"/>
  <c r="D19" i="5" s="1"/>
  <c r="AS20" i="1"/>
  <c r="D20" i="6" s="1"/>
  <c r="AS19" i="1"/>
  <c r="L16" i="3" s="1"/>
  <c r="D19" i="6"/>
  <c r="AS18" i="1"/>
  <c r="AS15" i="1"/>
  <c r="D15" i="6" s="1"/>
  <c r="AS14" i="1"/>
  <c r="D12" i="5" s="1"/>
  <c r="D14" i="6"/>
  <c r="D13" i="6"/>
  <c r="D12" i="6"/>
  <c r="AS11" i="1"/>
  <c r="L8" i="3" s="1"/>
  <c r="D11" i="6"/>
  <c r="AS10" i="1"/>
  <c r="AS9" i="1"/>
  <c r="D9" i="6" s="1"/>
  <c r="AS8" i="1"/>
  <c r="AS7" i="1"/>
  <c r="D7" i="6" s="1"/>
  <c r="AS6" i="1"/>
  <c r="D6" i="6" s="1"/>
  <c r="AT15" i="1"/>
  <c r="AT17" i="1"/>
  <c r="AT33" i="1"/>
  <c r="AT36" i="1"/>
  <c r="AT47" i="1"/>
  <c r="AU15" i="1"/>
  <c r="AU17" i="1"/>
  <c r="AU24" i="1" s="1"/>
  <c r="AU33" i="1"/>
  <c r="AU36" i="1"/>
  <c r="AU47" i="1"/>
  <c r="AV15" i="1"/>
  <c r="AV17" i="1"/>
  <c r="AV24" i="1" s="1"/>
  <c r="AV33" i="1"/>
  <c r="AV36" i="1"/>
  <c r="AV47" i="1"/>
  <c r="E26" i="6"/>
  <c r="AW23" i="1"/>
  <c r="E23" i="6" s="1"/>
  <c r="E22" i="6"/>
  <c r="AW21" i="1"/>
  <c r="E21" i="6" s="1"/>
  <c r="E20" i="6"/>
  <c r="AW19" i="1"/>
  <c r="E19" i="6" s="1"/>
  <c r="AW18" i="1"/>
  <c r="E18" i="6" s="1"/>
  <c r="AW15" i="1"/>
  <c r="AW14" i="1"/>
  <c r="M11" i="3" s="1"/>
  <c r="E13" i="6"/>
  <c r="E12" i="6"/>
  <c r="AW11" i="1"/>
  <c r="E11" i="6" s="1"/>
  <c r="AW10" i="1"/>
  <c r="E10" i="6" s="1"/>
  <c r="E9" i="6"/>
  <c r="AW8" i="1"/>
  <c r="E8" i="6" s="1"/>
  <c r="AW7" i="1"/>
  <c r="AW6" i="1"/>
  <c r="E6" i="6" s="1"/>
  <c r="AX15" i="1"/>
  <c r="AX17" i="1"/>
  <c r="AX33" i="1"/>
  <c r="AX36" i="1"/>
  <c r="AX47" i="1"/>
  <c r="AY15" i="1"/>
  <c r="AY17" i="1"/>
  <c r="AY24" i="1" s="1"/>
  <c r="AY33" i="1"/>
  <c r="AY36" i="1"/>
  <c r="AY47" i="1"/>
  <c r="AZ15" i="1"/>
  <c r="AZ17" i="1"/>
  <c r="AZ24" i="1" s="1"/>
  <c r="AZ33" i="1"/>
  <c r="AZ36" i="1"/>
  <c r="BA36" i="1" s="1"/>
  <c r="N31" i="3" s="1"/>
  <c r="AZ47" i="1"/>
  <c r="F26" i="6"/>
  <c r="BA23" i="1"/>
  <c r="F23" i="6" s="1"/>
  <c r="F22" i="6"/>
  <c r="BA21" i="1"/>
  <c r="F21" i="6" s="1"/>
  <c r="BA20" i="1"/>
  <c r="BA19" i="1"/>
  <c r="F19" i="6" s="1"/>
  <c r="BA18" i="1"/>
  <c r="N15" i="3" s="1"/>
  <c r="BA15" i="1"/>
  <c r="BA14" i="1"/>
  <c r="N11" i="3" s="1"/>
  <c r="F13" i="6"/>
  <c r="F12" i="6"/>
  <c r="BA11" i="1"/>
  <c r="F11" i="6" s="1"/>
  <c r="BA10" i="1"/>
  <c r="F10" i="6" s="1"/>
  <c r="BA9" i="1"/>
  <c r="F7" i="5" s="1"/>
  <c r="F9" i="6"/>
  <c r="BA8" i="1"/>
  <c r="BA7" i="1"/>
  <c r="F7" i="6"/>
  <c r="BA6" i="1"/>
  <c r="BB15" i="1"/>
  <c r="BB17" i="1"/>
  <c r="BB24" i="1"/>
  <c r="BB33" i="1"/>
  <c r="BB36" i="1"/>
  <c r="BE36" i="1" s="1"/>
  <c r="G31" i="6" s="1"/>
  <c r="BB39" i="1"/>
  <c r="BB47" i="1"/>
  <c r="BC15" i="1"/>
  <c r="BC17" i="1"/>
  <c r="BC24" i="1" s="1"/>
  <c r="BC33" i="1"/>
  <c r="BC36" i="1"/>
  <c r="BC47" i="1"/>
  <c r="BD15" i="1"/>
  <c r="BD17" i="1"/>
  <c r="BD33" i="1"/>
  <c r="BD36" i="1"/>
  <c r="BD47" i="1"/>
  <c r="G26" i="6"/>
  <c r="BE23" i="1"/>
  <c r="G23" i="6" s="1"/>
  <c r="G22" i="6"/>
  <c r="BE21" i="1"/>
  <c r="G21" i="6" s="1"/>
  <c r="BE20" i="1"/>
  <c r="G18" i="5" s="1"/>
  <c r="BE19" i="1"/>
  <c r="BE18" i="1"/>
  <c r="G18" i="6" s="1"/>
  <c r="BE15" i="1"/>
  <c r="G13" i="5" s="1"/>
  <c r="BE14" i="1"/>
  <c r="G13" i="6"/>
  <c r="G12" i="6"/>
  <c r="BE11" i="1"/>
  <c r="G11" i="6" s="1"/>
  <c r="BE10" i="1"/>
  <c r="G8" i="5" s="1"/>
  <c r="BE9" i="1"/>
  <c r="G7" i="5" s="1"/>
  <c r="BE8" i="1"/>
  <c r="G8" i="6" s="1"/>
  <c r="BE7" i="1"/>
  <c r="G5" i="5" s="1"/>
  <c r="G7" i="6"/>
  <c r="BE6" i="1"/>
  <c r="G4" i="5" s="1"/>
  <c r="BF14" i="1"/>
  <c r="BF15" i="1" s="1"/>
  <c r="BF17" i="1"/>
  <c r="BF18" i="1"/>
  <c r="BI18" i="1" s="1"/>
  <c r="BF26" i="1"/>
  <c r="BF32" i="1"/>
  <c r="BF33" i="1"/>
  <c r="BF34" i="1"/>
  <c r="BF36" i="1" s="1"/>
  <c r="BF39" i="1"/>
  <c r="BF47" i="1" s="1"/>
  <c r="BF50" i="1"/>
  <c r="BG15" i="1"/>
  <c r="BG17" i="1"/>
  <c r="BG24" i="1" s="1"/>
  <c r="BG32" i="1"/>
  <c r="BG33" i="1"/>
  <c r="BG36" i="1"/>
  <c r="BG47" i="1"/>
  <c r="BG48" i="1" s="1"/>
  <c r="BH15" i="1"/>
  <c r="BH17" i="1"/>
  <c r="BH24" i="1" s="1"/>
  <c r="BH25" i="1"/>
  <c r="BH33" i="1"/>
  <c r="BH48" i="1" s="1"/>
  <c r="BH36" i="1"/>
  <c r="BH47" i="1"/>
  <c r="H26" i="6"/>
  <c r="BI23" i="1"/>
  <c r="H23" i="6" s="1"/>
  <c r="BI22" i="1"/>
  <c r="H20" i="5" s="1"/>
  <c r="H22" i="6"/>
  <c r="BI21" i="1"/>
  <c r="H21" i="6" s="1"/>
  <c r="H20" i="6"/>
  <c r="BI19" i="1"/>
  <c r="H19" i="6" s="1"/>
  <c r="BI15" i="1"/>
  <c r="H15" i="6" s="1"/>
  <c r="H13" i="6"/>
  <c r="H12" i="6"/>
  <c r="BI11" i="1"/>
  <c r="BI10" i="1"/>
  <c r="H8" i="5" s="1"/>
  <c r="H10" i="6"/>
  <c r="BI9" i="1"/>
  <c r="BI8" i="1"/>
  <c r="H8" i="6" s="1"/>
  <c r="BI7" i="1"/>
  <c r="BI6" i="1"/>
  <c r="H6" i="6" s="1"/>
  <c r="BJ14" i="1"/>
  <c r="BJ17" i="1"/>
  <c r="BJ18" i="1"/>
  <c r="BM18" i="1" s="1"/>
  <c r="I18" i="6" s="1"/>
  <c r="BJ26" i="1"/>
  <c r="BJ32" i="1"/>
  <c r="BJ33" i="1" s="1"/>
  <c r="BJ34" i="1"/>
  <c r="BJ36" i="1" s="1"/>
  <c r="BJ39" i="1"/>
  <c r="BJ47" i="1"/>
  <c r="BM47" i="1" s="1"/>
  <c r="I32" i="5" s="1"/>
  <c r="BK15" i="1"/>
  <c r="BK17" i="1"/>
  <c r="BK24" i="1" s="1"/>
  <c r="BK33" i="1"/>
  <c r="BK36" i="1"/>
  <c r="BK47" i="1"/>
  <c r="BL15" i="1"/>
  <c r="BL17" i="1"/>
  <c r="BL24" i="1" s="1"/>
  <c r="BL33" i="1"/>
  <c r="BL36" i="1"/>
  <c r="BL47" i="1"/>
  <c r="BM22" i="1"/>
  <c r="I22" i="6" s="1"/>
  <c r="BM15" i="1"/>
  <c r="I13" i="5" s="1"/>
  <c r="BM10" i="1"/>
  <c r="I8" i="5" s="1"/>
  <c r="BM7" i="1"/>
  <c r="I5" i="5" s="1"/>
  <c r="I7" i="6"/>
  <c r="BM6" i="1"/>
  <c r="I4" i="5" s="1"/>
  <c r="BN14" i="1"/>
  <c r="J14" i="6" s="1"/>
  <c r="BN15" i="1"/>
  <c r="BN24" i="1"/>
  <c r="BN33" i="1"/>
  <c r="J28" i="5" s="1"/>
  <c r="BN47" i="1"/>
  <c r="J31" i="6"/>
  <c r="J30" i="6"/>
  <c r="J20" i="6"/>
  <c r="J21" i="6"/>
  <c r="J22" i="6"/>
  <c r="J23" i="6"/>
  <c r="J26" i="6"/>
  <c r="J19" i="6"/>
  <c r="J18" i="6"/>
  <c r="J17" i="6"/>
  <c r="J10" i="6"/>
  <c r="J7" i="6"/>
  <c r="J3" i="6"/>
  <c r="J11" i="6"/>
  <c r="J12" i="6"/>
  <c r="J13" i="6"/>
  <c r="O3" i="6"/>
  <c r="N3" i="6"/>
  <c r="M3" i="6"/>
  <c r="L3" i="6"/>
  <c r="K3" i="6"/>
  <c r="I3" i="6"/>
  <c r="H3" i="6"/>
  <c r="G3" i="6"/>
  <c r="F3" i="6"/>
  <c r="E3" i="6"/>
  <c r="D3" i="6"/>
  <c r="C3" i="6"/>
  <c r="B3" i="6"/>
  <c r="K7" i="6"/>
  <c r="BR14" i="1"/>
  <c r="BR15" i="1"/>
  <c r="K13" i="5" s="1"/>
  <c r="K15" i="6"/>
  <c r="BR33" i="1"/>
  <c r="K6" i="6"/>
  <c r="BR47" i="1"/>
  <c r="K34" i="6" s="1"/>
  <c r="BR24" i="1"/>
  <c r="O42" i="6"/>
  <c r="M42" i="6"/>
  <c r="K31" i="6"/>
  <c r="K26" i="6"/>
  <c r="K23" i="6"/>
  <c r="K22" i="6"/>
  <c r="K21" i="6"/>
  <c r="K20" i="6"/>
  <c r="K19" i="6"/>
  <c r="K18" i="6"/>
  <c r="K17" i="6"/>
  <c r="K14" i="6"/>
  <c r="K13" i="6"/>
  <c r="K12" i="6"/>
  <c r="K11" i="6"/>
  <c r="K10" i="6"/>
  <c r="K9" i="6"/>
  <c r="K8" i="6"/>
  <c r="O30" i="5"/>
  <c r="D13" i="5"/>
  <c r="O5" i="5"/>
  <c r="O28" i="5"/>
  <c r="K5" i="5"/>
  <c r="J5" i="5"/>
  <c r="F5" i="5"/>
  <c r="D5" i="5"/>
  <c r="O4" i="5"/>
  <c r="M4" i="5"/>
  <c r="K4" i="5"/>
  <c r="J4" i="5"/>
  <c r="D4" i="5"/>
  <c r="O32" i="5"/>
  <c r="K32" i="5"/>
  <c r="O41" i="5"/>
  <c r="O24" i="5"/>
  <c r="O21" i="5"/>
  <c r="O20" i="5"/>
  <c r="O19" i="5"/>
  <c r="O18" i="5"/>
  <c r="O17" i="5"/>
  <c r="O16" i="5"/>
  <c r="O14" i="5"/>
  <c r="O12" i="5"/>
  <c r="O11" i="5"/>
  <c r="O10" i="5"/>
  <c r="O8" i="5"/>
  <c r="O7" i="5"/>
  <c r="O6" i="5"/>
  <c r="B36" i="5"/>
  <c r="B37" i="5"/>
  <c r="C36" i="5"/>
  <c r="C37" i="5"/>
  <c r="D36" i="5"/>
  <c r="D37" i="5"/>
  <c r="E36" i="5"/>
  <c r="E37" i="5"/>
  <c r="F36" i="5"/>
  <c r="F37" i="5"/>
  <c r="G36" i="5"/>
  <c r="G37" i="5"/>
  <c r="H36" i="5"/>
  <c r="H37" i="5"/>
  <c r="B7" i="5"/>
  <c r="B9" i="5"/>
  <c r="B10" i="5"/>
  <c r="B11" i="5"/>
  <c r="B14" i="5"/>
  <c r="B19" i="5"/>
  <c r="B20" i="5"/>
  <c r="B24" i="5"/>
  <c r="C7" i="5"/>
  <c r="C10" i="5"/>
  <c r="C11" i="5"/>
  <c r="C12" i="5"/>
  <c r="C14" i="5"/>
  <c r="C17" i="5"/>
  <c r="C19" i="5"/>
  <c r="C20" i="5"/>
  <c r="C24" i="5"/>
  <c r="D7" i="5"/>
  <c r="D9" i="5"/>
  <c r="D10" i="5"/>
  <c r="D11" i="5"/>
  <c r="D14" i="5"/>
  <c r="D17" i="5"/>
  <c r="D18" i="5"/>
  <c r="D20" i="5"/>
  <c r="D21" i="5"/>
  <c r="D24" i="5"/>
  <c r="E7" i="5"/>
  <c r="E9" i="5"/>
  <c r="E10" i="5"/>
  <c r="E11" i="5"/>
  <c r="E14" i="5"/>
  <c r="E16" i="5"/>
  <c r="E18" i="5"/>
  <c r="E20" i="5"/>
  <c r="E21" i="5"/>
  <c r="E24" i="5"/>
  <c r="F8" i="5"/>
  <c r="F10" i="5"/>
  <c r="F11" i="5"/>
  <c r="F14" i="5"/>
  <c r="F17" i="5"/>
  <c r="F20" i="5"/>
  <c r="F21" i="5"/>
  <c r="F24" i="5"/>
  <c r="G9" i="5"/>
  <c r="G10" i="5"/>
  <c r="G11" i="5"/>
  <c r="G14" i="5"/>
  <c r="G16" i="5"/>
  <c r="G19" i="5"/>
  <c r="G20" i="5"/>
  <c r="G24" i="5"/>
  <c r="H24" i="5"/>
  <c r="H21" i="5"/>
  <c r="H18" i="5"/>
  <c r="H11" i="5"/>
  <c r="H10" i="5"/>
  <c r="H6" i="5"/>
  <c r="I20" i="5"/>
  <c r="J36" i="5"/>
  <c r="J29" i="5"/>
  <c r="J24" i="5"/>
  <c r="J21" i="5"/>
  <c r="J20" i="5"/>
  <c r="J19" i="5"/>
  <c r="J18" i="5"/>
  <c r="J17" i="5"/>
  <c r="J16" i="5"/>
  <c r="J15" i="5"/>
  <c r="J12" i="5"/>
  <c r="J11" i="5"/>
  <c r="J10" i="5"/>
  <c r="J9" i="5"/>
  <c r="J8" i="5"/>
  <c r="J7" i="5"/>
  <c r="J6" i="5"/>
  <c r="K36" i="5"/>
  <c r="K29" i="5"/>
  <c r="K24" i="5"/>
  <c r="K21" i="5"/>
  <c r="K20" i="5"/>
  <c r="K19" i="5"/>
  <c r="K18" i="5"/>
  <c r="K17" i="5"/>
  <c r="K16" i="5"/>
  <c r="K15" i="5"/>
  <c r="K12" i="5"/>
  <c r="K11" i="5"/>
  <c r="K10" i="5"/>
  <c r="K9" i="5"/>
  <c r="K8" i="5"/>
  <c r="K7" i="5"/>
  <c r="K6" i="5"/>
  <c r="CA17" i="1"/>
  <c r="CA22" i="1" s="1"/>
  <c r="Z23" i="1"/>
  <c r="AC23" i="1" s="1"/>
  <c r="H18" i="3" s="1"/>
  <c r="AA23" i="1"/>
  <c r="AB23" i="1"/>
  <c r="BS33" i="1"/>
  <c r="BS37" i="1" s="1"/>
  <c r="BS47" i="1"/>
  <c r="BS48" i="1" s="1"/>
  <c r="BS54" i="1" s="1"/>
  <c r="BT33" i="1"/>
  <c r="BT37" i="1" s="1"/>
  <c r="BT47" i="1"/>
  <c r="BO33" i="1"/>
  <c r="BO37" i="1" s="1"/>
  <c r="BO47" i="1"/>
  <c r="BP33" i="1"/>
  <c r="BP37" i="1" s="1"/>
  <c r="BP47" i="1"/>
  <c r="M41" i="5"/>
  <c r="M36" i="5"/>
  <c r="M24" i="5"/>
  <c r="M21" i="5"/>
  <c r="M20" i="5"/>
  <c r="M19" i="5"/>
  <c r="M17" i="5"/>
  <c r="M16" i="5"/>
  <c r="M15" i="5"/>
  <c r="M12" i="5"/>
  <c r="M11" i="5"/>
  <c r="M10" i="5"/>
  <c r="M9" i="5"/>
  <c r="M8" i="5"/>
  <c r="M7" i="5"/>
  <c r="M6" i="5"/>
  <c r="N5" i="3"/>
  <c r="CE22" i="1"/>
  <c r="CE26" i="1"/>
  <c r="CE7" i="1"/>
  <c r="CE9" i="1"/>
  <c r="CE10" i="1"/>
  <c r="CE11" i="1"/>
  <c r="CE13" i="1"/>
  <c r="CE49" i="1"/>
  <c r="CE51" i="1" s="1"/>
  <c r="CE48" i="1"/>
  <c r="CE37" i="1"/>
  <c r="CA18" i="1"/>
  <c r="CA10" i="1"/>
  <c r="CA15" i="1" s="1"/>
  <c r="CA47" i="1"/>
  <c r="CA33" i="1"/>
  <c r="D42" i="3"/>
  <c r="D40" i="3"/>
  <c r="D36" i="3"/>
  <c r="D35" i="3"/>
  <c r="D34" i="3"/>
  <c r="D30" i="3"/>
  <c r="D29" i="3"/>
  <c r="D27" i="3"/>
  <c r="D26" i="3"/>
  <c r="D25" i="3"/>
  <c r="D22" i="3"/>
  <c r="D21" i="3"/>
  <c r="D18" i="3"/>
  <c r="D17" i="3"/>
  <c r="L17" i="1"/>
  <c r="L24" i="1" s="1"/>
  <c r="K17" i="1"/>
  <c r="K18" i="1"/>
  <c r="K19" i="1"/>
  <c r="J17" i="1"/>
  <c r="M17" i="1" s="1"/>
  <c r="D14" i="3" s="1"/>
  <c r="J18" i="1"/>
  <c r="J19" i="1"/>
  <c r="K7" i="1"/>
  <c r="J7" i="1"/>
  <c r="J6" i="1"/>
  <c r="K6" i="1"/>
  <c r="K15" i="1" s="1"/>
  <c r="L47" i="1"/>
  <c r="L48" i="1" s="1"/>
  <c r="J47" i="1"/>
  <c r="K47" i="1"/>
  <c r="L36" i="1"/>
  <c r="L37" i="1" s="1"/>
  <c r="J36" i="1"/>
  <c r="K36" i="1"/>
  <c r="L33" i="1"/>
  <c r="K33" i="1"/>
  <c r="J33" i="1"/>
  <c r="L15" i="1"/>
  <c r="L25" i="1" s="1"/>
  <c r="M14" i="1"/>
  <c r="D11" i="3" s="1"/>
  <c r="M11" i="1"/>
  <c r="D8" i="3" s="1"/>
  <c r="M10" i="1"/>
  <c r="M9" i="1"/>
  <c r="M8" i="1"/>
  <c r="D7" i="3" s="1"/>
  <c r="B28" i="3"/>
  <c r="B49" i="3" s="1"/>
  <c r="C42" i="3"/>
  <c r="C40" i="3"/>
  <c r="C36" i="3"/>
  <c r="C35" i="3"/>
  <c r="C34" i="3"/>
  <c r="C30" i="3"/>
  <c r="C29" i="3"/>
  <c r="C27" i="3"/>
  <c r="C26" i="3"/>
  <c r="C25" i="3"/>
  <c r="C22" i="3"/>
  <c r="C21" i="3"/>
  <c r="H17" i="1"/>
  <c r="H24" i="1" s="1"/>
  <c r="G17" i="1"/>
  <c r="F17" i="1"/>
  <c r="G18" i="1"/>
  <c r="G24" i="1" s="1"/>
  <c r="F18" i="1"/>
  <c r="G19" i="1"/>
  <c r="F19" i="1"/>
  <c r="I19" i="1" s="1"/>
  <c r="C16" i="3" s="1"/>
  <c r="I23" i="1"/>
  <c r="C18" i="3" s="1"/>
  <c r="I21" i="1"/>
  <c r="C17" i="3" s="1"/>
  <c r="I20" i="1"/>
  <c r="G7" i="1"/>
  <c r="I7" i="1" s="1"/>
  <c r="C5" i="3" s="1"/>
  <c r="F7" i="1"/>
  <c r="G6" i="1"/>
  <c r="F6" i="1"/>
  <c r="I6" i="1" s="1"/>
  <c r="C4" i="3" s="1"/>
  <c r="H47" i="1"/>
  <c r="G47" i="1"/>
  <c r="F47" i="1"/>
  <c r="H36" i="1"/>
  <c r="G36" i="1"/>
  <c r="F36" i="1"/>
  <c r="H33" i="1"/>
  <c r="G33" i="1"/>
  <c r="F33" i="1"/>
  <c r="F37" i="1" s="1"/>
  <c r="H15" i="1"/>
  <c r="I14" i="1"/>
  <c r="C11" i="3"/>
  <c r="I11" i="1"/>
  <c r="C8" i="3" s="1"/>
  <c r="I10" i="1"/>
  <c r="I9" i="1"/>
  <c r="I8" i="1"/>
  <c r="C7" i="3" s="1"/>
  <c r="T17" i="1"/>
  <c r="T24" i="1" s="1"/>
  <c r="S17" i="1"/>
  <c r="R17" i="1"/>
  <c r="T19" i="1"/>
  <c r="S19" i="1"/>
  <c r="R19" i="1"/>
  <c r="U19" i="1" s="1"/>
  <c r="F16" i="3" s="1"/>
  <c r="F42" i="3"/>
  <c r="F40" i="3"/>
  <c r="F36" i="3"/>
  <c r="F35" i="3"/>
  <c r="F34" i="3"/>
  <c r="F30" i="3"/>
  <c r="F29" i="3"/>
  <c r="F27" i="3"/>
  <c r="F26" i="3"/>
  <c r="F25" i="3"/>
  <c r="F21" i="3"/>
  <c r="BM23" i="1"/>
  <c r="BM21" i="1"/>
  <c r="BM20" i="1"/>
  <c r="BM19" i="1"/>
  <c r="BM11" i="1"/>
  <c r="BM9" i="1"/>
  <c r="BM8" i="1"/>
  <c r="AG24" i="1"/>
  <c r="AG21" i="1"/>
  <c r="I17" i="3" s="1"/>
  <c r="AG20" i="1"/>
  <c r="AG23" i="1"/>
  <c r="AG19" i="1"/>
  <c r="AG18" i="1"/>
  <c r="I15" i="3" s="1"/>
  <c r="AG17" i="1"/>
  <c r="I14" i="3" s="1"/>
  <c r="AG14" i="1"/>
  <c r="AG11" i="1"/>
  <c r="AG10" i="1"/>
  <c r="AG9" i="1"/>
  <c r="AG8" i="1"/>
  <c r="AG6" i="1"/>
  <c r="AC21" i="1"/>
  <c r="AC19" i="1"/>
  <c r="H16" i="3" s="1"/>
  <c r="AC18" i="1"/>
  <c r="AC14" i="1"/>
  <c r="H11" i="3" s="1"/>
  <c r="AC10" i="1"/>
  <c r="AC8" i="1"/>
  <c r="AC6" i="1"/>
  <c r="H4" i="3" s="1"/>
  <c r="Y21" i="1"/>
  <c r="G17" i="3" s="1"/>
  <c r="Y19" i="1"/>
  <c r="G16" i="3" s="1"/>
  <c r="Y18" i="1"/>
  <c r="G15" i="3" s="1"/>
  <c r="Y14" i="1"/>
  <c r="Y11" i="1"/>
  <c r="G8" i="3" s="1"/>
  <c r="Y10" i="1"/>
  <c r="Y8" i="1"/>
  <c r="U21" i="1"/>
  <c r="F17" i="3" s="1"/>
  <c r="U23" i="1"/>
  <c r="F18" i="3" s="1"/>
  <c r="U18" i="1"/>
  <c r="F15" i="3" s="1"/>
  <c r="U14" i="1"/>
  <c r="F11" i="3" s="1"/>
  <c r="U11" i="1"/>
  <c r="F8" i="3" s="1"/>
  <c r="U10" i="1"/>
  <c r="U8" i="1"/>
  <c r="R6" i="1"/>
  <c r="Q23" i="1"/>
  <c r="Q21" i="1"/>
  <c r="E17" i="3" s="1"/>
  <c r="Q20" i="1"/>
  <c r="Q19" i="1"/>
  <c r="Q18" i="1"/>
  <c r="Q14" i="1"/>
  <c r="E11" i="3" s="1"/>
  <c r="Q11" i="1"/>
  <c r="Q10" i="1"/>
  <c r="Q9" i="1"/>
  <c r="Q8" i="1"/>
  <c r="E7" i="3" s="1"/>
  <c r="E14" i="1"/>
  <c r="E11" i="1"/>
  <c r="E10" i="1"/>
  <c r="E9" i="1"/>
  <c r="E8" i="1"/>
  <c r="E7" i="1"/>
  <c r="E6" i="1"/>
  <c r="E24" i="1"/>
  <c r="B19" i="3" s="1"/>
  <c r="E21" i="1"/>
  <c r="B17" i="3" s="1"/>
  <c r="E20" i="1"/>
  <c r="E19" i="1"/>
  <c r="B16" i="3" s="1"/>
  <c r="E18" i="1"/>
  <c r="B15" i="3" s="1"/>
  <c r="E17" i="1"/>
  <c r="B14" i="3" s="1"/>
  <c r="E15" i="1"/>
  <c r="T30" i="1"/>
  <c r="T33" i="1" s="1"/>
  <c r="T37" i="1" s="1"/>
  <c r="S30" i="1"/>
  <c r="S33" i="1" s="1"/>
  <c r="R30" i="1"/>
  <c r="R33" i="1" s="1"/>
  <c r="S7" i="1"/>
  <c r="S15" i="1" s="1"/>
  <c r="R7" i="1"/>
  <c r="T47" i="1"/>
  <c r="S47" i="1"/>
  <c r="R47" i="1"/>
  <c r="T36" i="1"/>
  <c r="S36" i="1"/>
  <c r="R36" i="1"/>
  <c r="T15" i="1"/>
  <c r="H42" i="3"/>
  <c r="H40" i="3"/>
  <c r="H36" i="3"/>
  <c r="H35" i="3"/>
  <c r="H34" i="3"/>
  <c r="H30" i="3"/>
  <c r="H29" i="3"/>
  <c r="H27" i="3"/>
  <c r="H26" i="3"/>
  <c r="H25" i="3"/>
  <c r="H21" i="3"/>
  <c r="H17" i="3"/>
  <c r="H15" i="3"/>
  <c r="G42" i="3"/>
  <c r="G40" i="3"/>
  <c r="G36" i="3"/>
  <c r="G35" i="3"/>
  <c r="G34" i="3"/>
  <c r="G30" i="3"/>
  <c r="G29" i="3"/>
  <c r="G27" i="3"/>
  <c r="G26" i="3"/>
  <c r="G25" i="3"/>
  <c r="G21" i="3"/>
  <c r="G11" i="3"/>
  <c r="G7" i="3"/>
  <c r="AB17" i="1"/>
  <c r="AA17" i="1"/>
  <c r="Z17" i="1"/>
  <c r="AB39" i="1"/>
  <c r="AB47" i="1" s="1"/>
  <c r="AB48" i="1" s="1"/>
  <c r="AA39" i="1"/>
  <c r="AA47" i="1" s="1"/>
  <c r="Z39" i="1"/>
  <c r="Z47" i="1" s="1"/>
  <c r="AB11" i="1"/>
  <c r="AA11" i="1"/>
  <c r="AA7" i="1"/>
  <c r="Z11" i="1"/>
  <c r="AB7" i="1"/>
  <c r="Z7" i="1"/>
  <c r="W23" i="1"/>
  <c r="V23" i="1"/>
  <c r="Y23" i="1" s="1"/>
  <c r="G18" i="3" s="1"/>
  <c r="X17" i="1"/>
  <c r="X24" i="1" s="1"/>
  <c r="W17" i="1"/>
  <c r="W24" i="1" s="1"/>
  <c r="V17" i="1"/>
  <c r="X39" i="1"/>
  <c r="X47" i="1" s="1"/>
  <c r="W39" i="1"/>
  <c r="W47" i="1" s="1"/>
  <c r="V39" i="1"/>
  <c r="V47" i="1" s="1"/>
  <c r="X7" i="1"/>
  <c r="X15" i="1" s="1"/>
  <c r="W7" i="1"/>
  <c r="V7" i="1"/>
  <c r="W6" i="1"/>
  <c r="V6" i="1"/>
  <c r="AB36" i="1"/>
  <c r="AA36" i="1"/>
  <c r="Z36" i="1"/>
  <c r="AC36" i="1" s="1"/>
  <c r="H31" i="3" s="1"/>
  <c r="AB33" i="1"/>
  <c r="AA33" i="1"/>
  <c r="Z33" i="1"/>
  <c r="Z48" i="1" s="1"/>
  <c r="AB24" i="1"/>
  <c r="X36" i="1"/>
  <c r="W36" i="1"/>
  <c r="V36" i="1"/>
  <c r="Y36" i="1" s="1"/>
  <c r="G31" i="3" s="1"/>
  <c r="X33" i="1"/>
  <c r="X37" i="1" s="1"/>
  <c r="X49" i="1" s="1"/>
  <c r="X51" i="1" s="1"/>
  <c r="W33" i="1"/>
  <c r="V33" i="1"/>
  <c r="AC33" i="1"/>
  <c r="H28" i="3" s="1"/>
  <c r="AA24" i="1"/>
  <c r="AA37" i="1"/>
  <c r="AB37" i="1"/>
  <c r="AB49" i="1" s="1"/>
  <c r="AB51" i="1" s="1"/>
  <c r="B42" i="3"/>
  <c r="B40" i="3"/>
  <c r="B36" i="3"/>
  <c r="B35" i="3"/>
  <c r="B34" i="3"/>
  <c r="B30" i="3"/>
  <c r="B29" i="3"/>
  <c r="B27" i="3"/>
  <c r="B26" i="3"/>
  <c r="B21" i="3"/>
  <c r="B12" i="3"/>
  <c r="E42" i="3"/>
  <c r="E40" i="3"/>
  <c r="E36" i="3"/>
  <c r="E35" i="3"/>
  <c r="E34" i="3"/>
  <c r="E30" i="3"/>
  <c r="E29" i="3"/>
  <c r="E27" i="3"/>
  <c r="E26" i="3"/>
  <c r="E25" i="3"/>
  <c r="E21" i="3"/>
  <c r="E18" i="3"/>
  <c r="E16" i="3"/>
  <c r="E15" i="3"/>
  <c r="E8" i="3"/>
  <c r="C23" i="1"/>
  <c r="C24" i="1" s="1"/>
  <c r="C25" i="1" s="1"/>
  <c r="B23" i="1"/>
  <c r="D47" i="1"/>
  <c r="C47" i="1"/>
  <c r="C48" i="1" s="1"/>
  <c r="B47" i="1"/>
  <c r="D36" i="1"/>
  <c r="C36" i="1"/>
  <c r="C37" i="1" s="1"/>
  <c r="C49" i="1" s="1"/>
  <c r="C51" i="1" s="1"/>
  <c r="B36" i="1"/>
  <c r="E36" i="1" s="1"/>
  <c r="B31" i="3" s="1"/>
  <c r="D33" i="1"/>
  <c r="D37" i="1" s="1"/>
  <c r="D49" i="1" s="1"/>
  <c r="D51" i="1" s="1"/>
  <c r="C33" i="1"/>
  <c r="B33" i="1"/>
  <c r="D24" i="1"/>
  <c r="D25" i="1" s="1"/>
  <c r="P17" i="1"/>
  <c r="O17" i="1"/>
  <c r="N17" i="1"/>
  <c r="P7" i="1"/>
  <c r="P15" i="1" s="1"/>
  <c r="O7" i="1"/>
  <c r="N7" i="1"/>
  <c r="O6" i="1"/>
  <c r="N6" i="1"/>
  <c r="B24" i="1"/>
  <c r="B25" i="1" s="1"/>
  <c r="N7" i="3"/>
  <c r="N21" i="3"/>
  <c r="N27" i="3"/>
  <c r="N30" i="3"/>
  <c r="N34" i="3"/>
  <c r="N35" i="3"/>
  <c r="N36" i="3"/>
  <c r="N40" i="3"/>
  <c r="N42" i="3"/>
  <c r="N47" i="3"/>
  <c r="M15" i="3"/>
  <c r="M21" i="3"/>
  <c r="M27" i="3"/>
  <c r="M30" i="3"/>
  <c r="M35" i="3"/>
  <c r="M36" i="3"/>
  <c r="M40" i="3"/>
  <c r="M42" i="3"/>
  <c r="M47" i="3"/>
  <c r="L15" i="3"/>
  <c r="L21" i="3"/>
  <c r="L27" i="3"/>
  <c r="L30" i="3"/>
  <c r="L34" i="3"/>
  <c r="L35" i="3"/>
  <c r="L36" i="3"/>
  <c r="L40" i="3"/>
  <c r="L42" i="3"/>
  <c r="L47" i="3"/>
  <c r="K11" i="3"/>
  <c r="K15" i="3"/>
  <c r="K21" i="3"/>
  <c r="K26" i="3"/>
  <c r="K27" i="3"/>
  <c r="K29" i="3"/>
  <c r="K30" i="3"/>
  <c r="K35" i="3"/>
  <c r="K36" i="3"/>
  <c r="K40" i="3"/>
  <c r="K42" i="3"/>
  <c r="K47" i="3"/>
  <c r="J17" i="3"/>
  <c r="J18" i="3"/>
  <c r="J21" i="3"/>
  <c r="J26" i="3"/>
  <c r="J27" i="3"/>
  <c r="J29" i="3"/>
  <c r="J30" i="3"/>
  <c r="J35" i="3"/>
  <c r="J36" i="3"/>
  <c r="J40" i="3"/>
  <c r="J42" i="3"/>
  <c r="J47" i="3"/>
  <c r="I16" i="3"/>
  <c r="I19" i="3"/>
  <c r="I21" i="3"/>
  <c r="I25" i="3"/>
  <c r="I26" i="3"/>
  <c r="I27" i="3"/>
  <c r="I29" i="3"/>
  <c r="I30" i="3"/>
  <c r="I35" i="3"/>
  <c r="I36" i="3"/>
  <c r="I40" i="3"/>
  <c r="I42" i="3"/>
  <c r="I47" i="3"/>
  <c r="N29" i="3"/>
  <c r="N26" i="3"/>
  <c r="N25" i="3"/>
  <c r="N18" i="3"/>
  <c r="N17" i="3"/>
  <c r="N16" i="3"/>
  <c r="M8" i="3"/>
  <c r="M17" i="3"/>
  <c r="M16" i="3"/>
  <c r="M26" i="3"/>
  <c r="M25" i="3"/>
  <c r="M29" i="3"/>
  <c r="M34" i="3"/>
  <c r="L29" i="3"/>
  <c r="L26" i="3"/>
  <c r="L25" i="3"/>
  <c r="L18" i="3"/>
  <c r="L5" i="3"/>
  <c r="L4" i="3"/>
  <c r="K34" i="3"/>
  <c r="K17" i="3"/>
  <c r="K16" i="3"/>
  <c r="K8" i="3"/>
  <c r="J34" i="3"/>
  <c r="J25" i="3"/>
  <c r="J15" i="3"/>
  <c r="I34" i="3"/>
  <c r="I18" i="3"/>
  <c r="I11" i="3"/>
  <c r="I8" i="3"/>
  <c r="I7" i="3"/>
  <c r="I4" i="3"/>
  <c r="K25" i="3"/>
  <c r="AD64" i="1"/>
  <c r="AF57" i="1"/>
  <c r="AE57" i="1"/>
  <c r="AD57" i="1"/>
  <c r="AF7" i="1"/>
  <c r="AF15" i="1" s="1"/>
  <c r="AE7" i="1"/>
  <c r="AE15" i="1" s="1"/>
  <c r="AD7" i="1"/>
  <c r="AG15" i="1" s="1"/>
  <c r="I12" i="3" s="1"/>
  <c r="AF47" i="1"/>
  <c r="AE47" i="1"/>
  <c r="AD47" i="1"/>
  <c r="AG47" i="1" s="1"/>
  <c r="I37" i="3" s="1"/>
  <c r="AF36" i="1"/>
  <c r="AG36" i="1" s="1"/>
  <c r="I31" i="3" s="1"/>
  <c r="AE36" i="1"/>
  <c r="AD36" i="1"/>
  <c r="AF33" i="1"/>
  <c r="AF37" i="1" s="1"/>
  <c r="AF49" i="1" s="1"/>
  <c r="AF51" i="1" s="1"/>
  <c r="AE33" i="1"/>
  <c r="AE48" i="1" s="1"/>
  <c r="AD33" i="1"/>
  <c r="AF24" i="1"/>
  <c r="AE24" i="1"/>
  <c r="AD24" i="1"/>
  <c r="P47" i="1"/>
  <c r="O47" i="1"/>
  <c r="N47" i="1"/>
  <c r="N48" i="1" s="1"/>
  <c r="P36" i="1"/>
  <c r="Q36" i="1" s="1"/>
  <c r="E31" i="3" s="1"/>
  <c r="O36" i="1"/>
  <c r="N36" i="1"/>
  <c r="P33" i="1"/>
  <c r="P48" i="1" s="1"/>
  <c r="O33" i="1"/>
  <c r="Q33" i="1" s="1"/>
  <c r="E28" i="3" s="1"/>
  <c r="N33" i="1"/>
  <c r="O24" i="1"/>
  <c r="N24" i="1"/>
  <c r="N15" i="1"/>
  <c r="N25" i="1" s="1"/>
  <c r="AF48" i="1"/>
  <c r="N37" i="1"/>
  <c r="N49" i="1" s="1"/>
  <c r="M12" i="3"/>
  <c r="BK52" i="1"/>
  <c r="BJ52" i="1"/>
  <c r="BL52" i="1"/>
  <c r="L12" i="3"/>
  <c r="P37" i="1" l="1"/>
  <c r="P49" i="1" s="1"/>
  <c r="P51" i="1" s="1"/>
  <c r="N8" i="3"/>
  <c r="Q15" i="1"/>
  <c r="E12" i="3" s="1"/>
  <c r="G37" i="1"/>
  <c r="G49" i="1" s="1"/>
  <c r="G51" i="1" s="1"/>
  <c r="B12" i="5"/>
  <c r="BC25" i="1"/>
  <c r="BC27" i="1" s="1"/>
  <c r="BC56" i="1" s="1"/>
  <c r="AJ37" i="1"/>
  <c r="AJ49" i="1" s="1"/>
  <c r="AJ51" i="1" s="1"/>
  <c r="AJ56" i="1" s="1"/>
  <c r="BV49" i="1"/>
  <c r="BV51" i="1" s="1"/>
  <c r="L11" i="3"/>
  <c r="Q24" i="1"/>
  <c r="E19" i="3" s="1"/>
  <c r="V37" i="1"/>
  <c r="V49" i="1" s="1"/>
  <c r="V51" i="1" s="1"/>
  <c r="V48" i="1"/>
  <c r="X48" i="1"/>
  <c r="Z15" i="1"/>
  <c r="Z25" i="1" s="1"/>
  <c r="AC24" i="1"/>
  <c r="H19" i="3" s="1"/>
  <c r="K37" i="1"/>
  <c r="K49" i="1" s="1"/>
  <c r="K51" i="1" s="1"/>
  <c r="L49" i="1"/>
  <c r="L51" i="1" s="1"/>
  <c r="M19" i="1"/>
  <c r="D16" i="3" s="1"/>
  <c r="K24" i="1"/>
  <c r="K25" i="1" s="1"/>
  <c r="H19" i="5"/>
  <c r="G21" i="5"/>
  <c r="E19" i="5"/>
  <c r="O33" i="5"/>
  <c r="BG37" i="1"/>
  <c r="AU48" i="1"/>
  <c r="AW47" i="1"/>
  <c r="AS36" i="1"/>
  <c r="D29" i="5" s="1"/>
  <c r="AO47" i="1"/>
  <c r="K37" i="3" s="1"/>
  <c r="BV56" i="1"/>
  <c r="U47" i="1"/>
  <c r="F37" i="3" s="1"/>
  <c r="BO49" i="1"/>
  <c r="BO51" i="1" s="1"/>
  <c r="BO56" i="1" s="1"/>
  <c r="F19" i="5"/>
  <c r="E8" i="5"/>
  <c r="BE24" i="1"/>
  <c r="G24" i="6" s="1"/>
  <c r="K7" i="3"/>
  <c r="AF25" i="1"/>
  <c r="AD37" i="1"/>
  <c r="J8" i="3"/>
  <c r="M18" i="3"/>
  <c r="M7" i="3"/>
  <c r="J11" i="3"/>
  <c r="L17" i="3"/>
  <c r="W37" i="1"/>
  <c r="Y15" i="1"/>
  <c r="G12" i="3" s="1"/>
  <c r="X25" i="1"/>
  <c r="X27" i="1" s="1"/>
  <c r="X56" i="1" s="1"/>
  <c r="V24" i="1"/>
  <c r="R15" i="1"/>
  <c r="U24" i="1"/>
  <c r="F19" i="3" s="1"/>
  <c r="H25" i="1"/>
  <c r="H54" i="1" s="1"/>
  <c r="M6" i="1"/>
  <c r="D4" i="3" s="1"/>
  <c r="M18" i="5"/>
  <c r="BP49" i="1"/>
  <c r="E6" i="5"/>
  <c r="H4" i="5"/>
  <c r="BK48" i="1"/>
  <c r="AY37" i="1"/>
  <c r="AW36" i="1"/>
  <c r="E29" i="5" s="1"/>
  <c r="D21" i="6"/>
  <c r="AJ48" i="1"/>
  <c r="AJ24" i="1"/>
  <c r="AJ25" i="1" s="1"/>
  <c r="AJ27" i="1" s="1"/>
  <c r="AF54" i="1"/>
  <c r="AF55" i="1"/>
  <c r="L31" i="3"/>
  <c r="I50" i="3"/>
  <c r="H7" i="6"/>
  <c r="H5" i="5"/>
  <c r="G19" i="6"/>
  <c r="G17" i="5"/>
  <c r="F20" i="6"/>
  <c r="F18" i="5"/>
  <c r="M37" i="3"/>
  <c r="K18" i="3"/>
  <c r="Y17" i="1"/>
  <c r="G14" i="3" s="1"/>
  <c r="AA49" i="1"/>
  <c r="AA51" i="1" s="1"/>
  <c r="T25" i="1"/>
  <c r="T27" i="1" s="1"/>
  <c r="M33" i="1"/>
  <c r="D28" i="3" s="1"/>
  <c r="BS49" i="1"/>
  <c r="B6" i="5"/>
  <c r="E4" i="5"/>
  <c r="BJ24" i="1"/>
  <c r="BG25" i="1"/>
  <c r="BG27" i="1" s="1"/>
  <c r="BF37" i="1"/>
  <c r="BF49" i="1" s="1"/>
  <c r="BI33" i="1"/>
  <c r="H28" i="5" s="1"/>
  <c r="BI24" i="1"/>
  <c r="G14" i="6"/>
  <c r="G12" i="5"/>
  <c r="F15" i="6"/>
  <c r="F13" i="5"/>
  <c r="AV25" i="1"/>
  <c r="D10" i="6"/>
  <c r="D8" i="5"/>
  <c r="AL37" i="1"/>
  <c r="AK6" i="1"/>
  <c r="AH15" i="1"/>
  <c r="AH25" i="1" s="1"/>
  <c r="N12" i="3"/>
  <c r="AE37" i="1"/>
  <c r="AE49" i="1" s="1"/>
  <c r="AE51" i="1" s="1"/>
  <c r="AD15" i="1"/>
  <c r="AD25" i="1" s="1"/>
  <c r="J7" i="3"/>
  <c r="E23" i="1"/>
  <c r="B18" i="3" s="1"/>
  <c r="AA48" i="1"/>
  <c r="AC48" i="1" s="1"/>
  <c r="H38" i="3" s="1"/>
  <c r="Y33" i="1"/>
  <c r="G28" i="3" s="1"/>
  <c r="U6" i="1"/>
  <c r="F4" i="3" s="1"/>
  <c r="M4" i="3"/>
  <c r="E17" i="5"/>
  <c r="C18" i="5"/>
  <c r="B16" i="5"/>
  <c r="G29" i="5"/>
  <c r="H13" i="5"/>
  <c r="BN25" i="1"/>
  <c r="J23" i="5" s="1"/>
  <c r="J13" i="5"/>
  <c r="J48" i="5" s="1"/>
  <c r="H9" i="6"/>
  <c r="H7" i="5"/>
  <c r="BG49" i="1"/>
  <c r="BG51" i="1" s="1"/>
  <c r="F31" i="6"/>
  <c r="F29" i="5"/>
  <c r="AY25" i="1"/>
  <c r="AY55" i="1" s="1"/>
  <c r="E15" i="6"/>
  <c r="E13" i="5"/>
  <c r="AQ37" i="1"/>
  <c r="AQ49" i="1" s="1"/>
  <c r="AQ51" i="1" s="1"/>
  <c r="C8" i="6"/>
  <c r="C11" i="6"/>
  <c r="C9" i="5"/>
  <c r="C18" i="6"/>
  <c r="C16" i="5"/>
  <c r="AM15" i="1"/>
  <c r="AM25" i="1" s="1"/>
  <c r="B10" i="6"/>
  <c r="B8" i="5"/>
  <c r="B20" i="6"/>
  <c r="B18" i="5"/>
  <c r="BV48" i="1"/>
  <c r="BY37" i="1"/>
  <c r="M30" i="6"/>
  <c r="O36" i="6"/>
  <c r="S37" i="1"/>
  <c r="S49" i="1" s="1"/>
  <c r="S51" i="1" s="1"/>
  <c r="F14" i="6"/>
  <c r="F12" i="5"/>
  <c r="O35" i="5"/>
  <c r="O37" i="6"/>
  <c r="AG7" i="1"/>
  <c r="I5" i="3" s="1"/>
  <c r="AE25" i="1"/>
  <c r="AE27" i="1" s="1"/>
  <c r="AE56" i="1" s="1"/>
  <c r="Q6" i="1"/>
  <c r="E4" i="3" s="1"/>
  <c r="Z37" i="1"/>
  <c r="AC17" i="1"/>
  <c r="H14" i="3" s="1"/>
  <c r="K31" i="3"/>
  <c r="Q47" i="1"/>
  <c r="E37" i="3" s="1"/>
  <c r="Q7" i="1"/>
  <c r="E5" i="3" s="1"/>
  <c r="E49" i="3" s="1"/>
  <c r="Q17" i="1"/>
  <c r="E14" i="3" s="1"/>
  <c r="D48" i="1"/>
  <c r="D54" i="1" s="1"/>
  <c r="B48" i="1"/>
  <c r="E48" i="1" s="1"/>
  <c r="B38" i="3" s="1"/>
  <c r="AC11" i="1"/>
  <c r="H8" i="3" s="1"/>
  <c r="Z24" i="1"/>
  <c r="Y6" i="1"/>
  <c r="G4" i="3" s="1"/>
  <c r="AC7" i="1"/>
  <c r="H5" i="3" s="1"/>
  <c r="H49" i="3" s="1"/>
  <c r="S48" i="1"/>
  <c r="U36" i="1"/>
  <c r="F31" i="3" s="1"/>
  <c r="R48" i="1"/>
  <c r="R37" i="1"/>
  <c r="U33" i="1"/>
  <c r="F28" i="3" s="1"/>
  <c r="K48" i="1"/>
  <c r="F9" i="5"/>
  <c r="C21" i="5"/>
  <c r="B21" i="5"/>
  <c r="C29" i="5"/>
  <c r="J47" i="5"/>
  <c r="BR25" i="1"/>
  <c r="K24" i="6"/>
  <c r="K22" i="5"/>
  <c r="K44" i="5" s="1"/>
  <c r="J15" i="6"/>
  <c r="J48" i="6" s="1"/>
  <c r="BN37" i="1"/>
  <c r="J30" i="5" s="1"/>
  <c r="BM24" i="1"/>
  <c r="I22" i="5" s="1"/>
  <c r="I44" i="5" s="1"/>
  <c r="BM36" i="1"/>
  <c r="I31" i="6" s="1"/>
  <c r="G9" i="6"/>
  <c r="BE47" i="1"/>
  <c r="G32" i="5" s="1"/>
  <c r="AW17" i="1"/>
  <c r="AT24" i="1"/>
  <c r="AT25" i="1" s="1"/>
  <c r="AT27" i="1" s="1"/>
  <c r="AW24" i="1"/>
  <c r="AK33" i="1"/>
  <c r="BY24" i="1"/>
  <c r="CG24" i="1"/>
  <c r="O15" i="5"/>
  <c r="CC48" i="1"/>
  <c r="N33" i="5" s="1"/>
  <c r="N35" i="6" s="1"/>
  <c r="W15" i="1"/>
  <c r="W25" i="1" s="1"/>
  <c r="AA15" i="1"/>
  <c r="AA25" i="1" s="1"/>
  <c r="AA27" i="1" s="1"/>
  <c r="U15" i="1"/>
  <c r="F12" i="3" s="1"/>
  <c r="S24" i="1"/>
  <c r="S25" i="1" s="1"/>
  <c r="S27" i="1" s="1"/>
  <c r="I47" i="1"/>
  <c r="C37" i="3" s="1"/>
  <c r="BT49" i="1"/>
  <c r="I6" i="6"/>
  <c r="I10" i="6"/>
  <c r="BI14" i="1"/>
  <c r="AS47" i="1"/>
  <c r="D34" i="6" s="1"/>
  <c r="BY47" i="1"/>
  <c r="BY49" i="1" s="1"/>
  <c r="L26" i="6"/>
  <c r="T49" i="1"/>
  <c r="I36" i="1"/>
  <c r="C31" i="3" s="1"/>
  <c r="G48" i="1"/>
  <c r="M47" i="1"/>
  <c r="D37" i="3" s="1"/>
  <c r="M7" i="1"/>
  <c r="D5" i="3" s="1"/>
  <c r="CE15" i="1"/>
  <c r="CE24" i="1"/>
  <c r="BO48" i="1"/>
  <c r="BO54" i="1" s="1"/>
  <c r="BH37" i="1"/>
  <c r="BH49" i="1" s="1"/>
  <c r="BH51" i="1" s="1"/>
  <c r="BB25" i="1"/>
  <c r="AU25" i="1"/>
  <c r="AU27" i="1" s="1"/>
  <c r="AU56" i="1" s="1"/>
  <c r="AQ48" i="1"/>
  <c r="AK36" i="1"/>
  <c r="J31" i="3" s="1"/>
  <c r="L22" i="5"/>
  <c r="H27" i="1"/>
  <c r="BG54" i="1"/>
  <c r="BP55" i="1"/>
  <c r="BP51" i="1"/>
  <c r="BP56" i="1" s="1"/>
  <c r="H22" i="5"/>
  <c r="H24" i="6"/>
  <c r="E31" i="6"/>
  <c r="AG37" i="1"/>
  <c r="I32" i="3" s="1"/>
  <c r="AD49" i="1"/>
  <c r="B27" i="1"/>
  <c r="E25" i="1"/>
  <c r="B20" i="3" s="1"/>
  <c r="C54" i="1"/>
  <c r="C55" i="1"/>
  <c r="C27" i="1"/>
  <c r="C56" i="1" s="1"/>
  <c r="W55" i="1"/>
  <c r="W27" i="1"/>
  <c r="W48" i="1"/>
  <c r="Y48" i="1" s="1"/>
  <c r="G38" i="3" s="1"/>
  <c r="W49" i="1"/>
  <c r="W51" i="1" s="1"/>
  <c r="Y47" i="1"/>
  <c r="G37" i="3" s="1"/>
  <c r="G50" i="3" s="1"/>
  <c r="AA54" i="1"/>
  <c r="BT55" i="1"/>
  <c r="BT51" i="1"/>
  <c r="BT56" i="1" s="1"/>
  <c r="L37" i="3"/>
  <c r="N51" i="1"/>
  <c r="F49" i="1"/>
  <c r="N55" i="1"/>
  <c r="AG25" i="1"/>
  <c r="I20" i="3" s="1"/>
  <c r="AD27" i="1"/>
  <c r="I29" i="5"/>
  <c r="N27" i="1"/>
  <c r="N54" i="1"/>
  <c r="D55" i="1"/>
  <c r="D27" i="1"/>
  <c r="D56" i="1" s="1"/>
  <c r="X54" i="1"/>
  <c r="T51" i="1"/>
  <c r="T56" i="1" s="1"/>
  <c r="L27" i="1"/>
  <c r="L56" i="1" s="1"/>
  <c r="L54" i="1"/>
  <c r="BJ48" i="1"/>
  <c r="BM33" i="1"/>
  <c r="BJ37" i="1"/>
  <c r="AV37" i="1"/>
  <c r="AV49" i="1" s="1"/>
  <c r="AV51" i="1" s="1"/>
  <c r="AV48" i="1"/>
  <c r="AV54" i="1" s="1"/>
  <c r="D8" i="6"/>
  <c r="D6" i="5"/>
  <c r="CC24" i="1"/>
  <c r="N22" i="5" s="1"/>
  <c r="N15" i="5"/>
  <c r="N17" i="6" s="1"/>
  <c r="AD48" i="1"/>
  <c r="AG48" i="1" s="1"/>
  <c r="I38" i="3" s="1"/>
  <c r="AG33" i="1"/>
  <c r="I28" i="3" s="1"/>
  <c r="O15" i="1"/>
  <c r="O25" i="1" s="1"/>
  <c r="E47" i="1"/>
  <c r="B37" i="3" s="1"/>
  <c r="B50" i="3" s="1"/>
  <c r="E33" i="1"/>
  <c r="M24" i="1"/>
  <c r="D19" i="3" s="1"/>
  <c r="BT48" i="1"/>
  <c r="BT54" i="1" s="1"/>
  <c r="BS51" i="1"/>
  <c r="BS56" i="1" s="1"/>
  <c r="BS55" i="1"/>
  <c r="CA24" i="1"/>
  <c r="CA25" i="1" s="1"/>
  <c r="H17" i="5"/>
  <c r="K30" i="6"/>
  <c r="BR37" i="1"/>
  <c r="BR48" i="1"/>
  <c r="K28" i="5"/>
  <c r="K48" i="5" s="1"/>
  <c r="J34" i="6"/>
  <c r="J32" i="5"/>
  <c r="BN48" i="1"/>
  <c r="BN54" i="1" s="1"/>
  <c r="J22" i="5"/>
  <c r="J24" i="6"/>
  <c r="BI47" i="1"/>
  <c r="BF48" i="1"/>
  <c r="BI48" i="1" s="1"/>
  <c r="BD37" i="1"/>
  <c r="BD49" i="1" s="1"/>
  <c r="BD51" i="1" s="1"/>
  <c r="BD48" i="1"/>
  <c r="F6" i="6"/>
  <c r="N4" i="3"/>
  <c r="AP37" i="1"/>
  <c r="AP48" i="1"/>
  <c r="AS33" i="1"/>
  <c r="AF27" i="1"/>
  <c r="AF56" i="1" s="1"/>
  <c r="P24" i="1"/>
  <c r="P25" i="1" s="1"/>
  <c r="Y24" i="1"/>
  <c r="G19" i="3" s="1"/>
  <c r="AC15" i="1"/>
  <c r="H12" i="3" s="1"/>
  <c r="I24" i="1"/>
  <c r="C19" i="3" s="1"/>
  <c r="H48" i="1"/>
  <c r="H37" i="1"/>
  <c r="H49" i="1" s="1"/>
  <c r="H51" i="1" s="1"/>
  <c r="G15" i="1"/>
  <c r="G25" i="1" s="1"/>
  <c r="M36" i="1"/>
  <c r="D31" i="3" s="1"/>
  <c r="M18" i="1"/>
  <c r="D15" i="3" s="1"/>
  <c r="D50" i="3" s="1"/>
  <c r="J24" i="1"/>
  <c r="BL25" i="1"/>
  <c r="H11" i="6"/>
  <c r="H9" i="5"/>
  <c r="BD24" i="1"/>
  <c r="BD25" i="1" s="1"/>
  <c r="BE17" i="1"/>
  <c r="BC37" i="1"/>
  <c r="BC49" i="1" s="1"/>
  <c r="BC51" i="1" s="1"/>
  <c r="BC48" i="1"/>
  <c r="E14" i="6"/>
  <c r="E12" i="5"/>
  <c r="AM37" i="1"/>
  <c r="AM49" i="1" s="1"/>
  <c r="AM51" i="1" s="1"/>
  <c r="AM48" i="1"/>
  <c r="I33" i="1"/>
  <c r="C28" i="3" s="1"/>
  <c r="F48" i="1"/>
  <c r="CA37" i="1"/>
  <c r="CA49" i="1" s="1"/>
  <c r="CA51" i="1" s="1"/>
  <c r="CA48" i="1"/>
  <c r="J44" i="6"/>
  <c r="BH27" i="1"/>
  <c r="BH56" i="1" s="1"/>
  <c r="BH55" i="1"/>
  <c r="BH54" i="1"/>
  <c r="BF24" i="1"/>
  <c r="BF25" i="1" s="1"/>
  <c r="BI17" i="1"/>
  <c r="O37" i="1"/>
  <c r="O49" i="1" s="1"/>
  <c r="O51" i="1" s="1"/>
  <c r="O48" i="1"/>
  <c r="Q48" i="1" s="1"/>
  <c r="E38" i="3" s="1"/>
  <c r="V15" i="1"/>
  <c r="R24" i="1"/>
  <c r="R25" i="1" s="1"/>
  <c r="I17" i="1"/>
  <c r="C14" i="3" s="1"/>
  <c r="F15" i="1"/>
  <c r="I15" i="1"/>
  <c r="C12" i="3" s="1"/>
  <c r="J48" i="1"/>
  <c r="M48" i="1" s="1"/>
  <c r="D38" i="3" s="1"/>
  <c r="J37" i="1"/>
  <c r="BB37" i="1"/>
  <c r="BB48" i="1"/>
  <c r="BE33" i="1"/>
  <c r="AY48" i="1"/>
  <c r="BA47" i="1"/>
  <c r="E7" i="6"/>
  <c r="E5" i="5"/>
  <c r="M5" i="3"/>
  <c r="B7" i="6"/>
  <c r="B5" i="5"/>
  <c r="L7" i="3"/>
  <c r="B37" i="1"/>
  <c r="AB15" i="1"/>
  <c r="AB25" i="1" s="1"/>
  <c r="Y7" i="1"/>
  <c r="G5" i="3" s="1"/>
  <c r="AC47" i="1"/>
  <c r="H37" i="3" s="1"/>
  <c r="T48" i="1"/>
  <c r="U7" i="1"/>
  <c r="F5" i="3" s="1"/>
  <c r="U17" i="1"/>
  <c r="F14" i="3" s="1"/>
  <c r="L55" i="1"/>
  <c r="F24" i="1"/>
  <c r="I18" i="1"/>
  <c r="C15" i="3" s="1"/>
  <c r="M15" i="1"/>
  <c r="D12" i="3" s="1"/>
  <c r="J15" i="1"/>
  <c r="BP48" i="1"/>
  <c r="BP54" i="1" s="1"/>
  <c r="I16" i="5"/>
  <c r="G6" i="5"/>
  <c r="F4" i="5"/>
  <c r="I24" i="6"/>
  <c r="BK25" i="1"/>
  <c r="H30" i="6"/>
  <c r="H44" i="6" s="1"/>
  <c r="BI36" i="1"/>
  <c r="H16" i="5"/>
  <c r="H18" i="6"/>
  <c r="G6" i="6"/>
  <c r="G10" i="6"/>
  <c r="G15" i="6"/>
  <c r="G34" i="6"/>
  <c r="D18" i="6"/>
  <c r="D16" i="5"/>
  <c r="C34" i="6"/>
  <c r="C32" i="5"/>
  <c r="I15" i="6"/>
  <c r="I34" i="6"/>
  <c r="BL37" i="1"/>
  <c r="BL49" i="1" s="1"/>
  <c r="BL51" i="1" s="1"/>
  <c r="BL48" i="1"/>
  <c r="BK37" i="1"/>
  <c r="BK49" i="1" s="1"/>
  <c r="BK51" i="1" s="1"/>
  <c r="BM17" i="1"/>
  <c r="G20" i="6"/>
  <c r="F18" i="6"/>
  <c r="F16" i="5"/>
  <c r="AY49" i="1"/>
  <c r="AY51" i="1" s="1"/>
  <c r="AT37" i="1"/>
  <c r="AT48" i="1"/>
  <c r="AW48" i="1" s="1"/>
  <c r="AW33" i="1"/>
  <c r="AQ25" i="1"/>
  <c r="AN37" i="1"/>
  <c r="AN49" i="1" s="1"/>
  <c r="AN51" i="1" s="1"/>
  <c r="AN48" i="1"/>
  <c r="AN15" i="1"/>
  <c r="AN25" i="1" s="1"/>
  <c r="AO7" i="1"/>
  <c r="B31" i="6"/>
  <c r="B29" i="5"/>
  <c r="N4" i="5"/>
  <c r="CC15" i="1"/>
  <c r="BW49" i="1"/>
  <c r="L32" i="6"/>
  <c r="L30" i="5"/>
  <c r="K45" i="6"/>
  <c r="BJ15" i="1"/>
  <c r="BJ25" i="1" s="1"/>
  <c r="BM14" i="1"/>
  <c r="BC55" i="1"/>
  <c r="BB27" i="1"/>
  <c r="F8" i="6"/>
  <c r="F6" i="5"/>
  <c r="AX37" i="1"/>
  <c r="AX48" i="1"/>
  <c r="BA33" i="1"/>
  <c r="AV27" i="1"/>
  <c r="AV56" i="1" s="1"/>
  <c r="AU37" i="1"/>
  <c r="AU49" i="1" s="1"/>
  <c r="AU51" i="1" s="1"/>
  <c r="B17" i="6"/>
  <c r="B15" i="5"/>
  <c r="AK47" i="1"/>
  <c r="AH48" i="1"/>
  <c r="O11" i="6"/>
  <c r="CG15" i="1"/>
  <c r="O9" i="5"/>
  <c r="AZ25" i="1"/>
  <c r="AR25" i="1"/>
  <c r="AI24" i="1"/>
  <c r="AK19" i="1"/>
  <c r="AH49" i="1"/>
  <c r="L15" i="6"/>
  <c r="L13" i="5"/>
  <c r="BW25" i="1"/>
  <c r="L34" i="6"/>
  <c r="L45" i="6" s="1"/>
  <c r="L32" i="5"/>
  <c r="L44" i="5" s="1"/>
  <c r="L43" i="5"/>
  <c r="AZ37" i="1"/>
  <c r="AZ49" i="1" s="1"/>
  <c r="AZ51" i="1" s="1"/>
  <c r="AZ48" i="1"/>
  <c r="AX24" i="1"/>
  <c r="AX25" i="1" s="1"/>
  <c r="BA24" i="1"/>
  <c r="BA17" i="1"/>
  <c r="AR37" i="1"/>
  <c r="AR49" i="1" s="1"/>
  <c r="AR51" i="1" s="1"/>
  <c r="AR48" i="1"/>
  <c r="AP24" i="1"/>
  <c r="AP25" i="1" s="1"/>
  <c r="AS24" i="1"/>
  <c r="AS17" i="1"/>
  <c r="AL49" i="1"/>
  <c r="AL15" i="1"/>
  <c r="AO6" i="1"/>
  <c r="AO15" i="1"/>
  <c r="BV55" i="1"/>
  <c r="BV54" i="1"/>
  <c r="AL24" i="1"/>
  <c r="AO24" i="1"/>
  <c r="AO17" i="1"/>
  <c r="AI37" i="1"/>
  <c r="AI49" i="1" s="1"/>
  <c r="AI51" i="1" s="1"/>
  <c r="AI48" i="1"/>
  <c r="AI15" i="1"/>
  <c r="AI25" i="1" s="1"/>
  <c r="AK15" i="1"/>
  <c r="M7" i="6"/>
  <c r="BY15" i="1"/>
  <c r="AL48" i="1"/>
  <c r="AO33" i="1"/>
  <c r="AH24" i="1"/>
  <c r="AK24" i="1"/>
  <c r="CC37" i="1"/>
  <c r="N28" i="5"/>
  <c r="L30" i="6"/>
  <c r="BW48" i="1"/>
  <c r="F50" i="3" l="1"/>
  <c r="E50" i="3"/>
  <c r="E52" i="3"/>
  <c r="H50" i="3"/>
  <c r="I49" i="3"/>
  <c r="E53" i="3"/>
  <c r="D52" i="3"/>
  <c r="F53" i="3"/>
  <c r="I53" i="3"/>
  <c r="K54" i="1"/>
  <c r="K55" i="1"/>
  <c r="S55" i="1"/>
  <c r="E32" i="5"/>
  <c r="E34" i="6"/>
  <c r="J32" i="6"/>
  <c r="BO55" i="1"/>
  <c r="V25" i="1"/>
  <c r="V54" i="1" s="1"/>
  <c r="Y54" i="1" s="1"/>
  <c r="G44" i="3" s="1"/>
  <c r="J25" i="6"/>
  <c r="BC54" i="1"/>
  <c r="G22" i="5"/>
  <c r="G44" i="5" s="1"/>
  <c r="AY27" i="1"/>
  <c r="F52" i="3"/>
  <c r="X55" i="1"/>
  <c r="M31" i="3"/>
  <c r="BG55" i="1"/>
  <c r="AA56" i="1"/>
  <c r="BG56" i="1"/>
  <c r="D31" i="6"/>
  <c r="G53" i="3"/>
  <c r="H53" i="3"/>
  <c r="L44" i="6"/>
  <c r="AU54" i="1"/>
  <c r="BN49" i="1"/>
  <c r="BN51" i="1" s="1"/>
  <c r="AY54" i="1"/>
  <c r="C50" i="3"/>
  <c r="BN27" i="1"/>
  <c r="S54" i="1"/>
  <c r="T55" i="1"/>
  <c r="D53" i="3"/>
  <c r="Y37" i="1"/>
  <c r="G32" i="3" s="1"/>
  <c r="AJ54" i="1"/>
  <c r="BY48" i="1"/>
  <c r="M32" i="5"/>
  <c r="M34" i="6"/>
  <c r="E24" i="6"/>
  <c r="E45" i="6" s="1"/>
  <c r="E22" i="5"/>
  <c r="M19" i="3"/>
  <c r="U37" i="1"/>
  <c r="F32" i="3" s="1"/>
  <c r="R49" i="1"/>
  <c r="R55" i="1" s="1"/>
  <c r="U55" i="1" s="1"/>
  <c r="F45" i="3" s="1"/>
  <c r="AC37" i="1"/>
  <c r="H32" i="3" s="1"/>
  <c r="Z49" i="1"/>
  <c r="AW25" i="1"/>
  <c r="E23" i="5" s="1"/>
  <c r="J49" i="6"/>
  <c r="I48" i="1"/>
  <c r="C38" i="3" s="1"/>
  <c r="K27" i="1"/>
  <c r="K56" i="1" s="1"/>
  <c r="B54" i="1"/>
  <c r="AE54" i="1"/>
  <c r="CE25" i="1"/>
  <c r="O24" i="6"/>
  <c r="O45" i="6" s="1"/>
  <c r="O22" i="5"/>
  <c r="O44" i="5" s="1"/>
  <c r="B6" i="6"/>
  <c r="B4" i="5"/>
  <c r="J4" i="3"/>
  <c r="Z54" i="1"/>
  <c r="Z27" i="1"/>
  <c r="AC27" i="1" s="1"/>
  <c r="H22" i="3" s="1"/>
  <c r="BI37" i="1"/>
  <c r="I45" i="6"/>
  <c r="BE48" i="1"/>
  <c r="G35" i="6" s="1"/>
  <c r="J44" i="5"/>
  <c r="D32" i="5"/>
  <c r="AA55" i="1"/>
  <c r="W54" i="1"/>
  <c r="AE55" i="1"/>
  <c r="H14" i="6"/>
  <c r="H12" i="5"/>
  <c r="M24" i="6"/>
  <c r="M22" i="5"/>
  <c r="E17" i="6"/>
  <c r="E15" i="5"/>
  <c r="M14" i="3"/>
  <c r="D49" i="3"/>
  <c r="Q49" i="1"/>
  <c r="E39" i="3" s="1"/>
  <c r="M32" i="6"/>
  <c r="M30" i="5"/>
  <c r="AK37" i="1"/>
  <c r="J32" i="3" s="1"/>
  <c r="AV55" i="1"/>
  <c r="G45" i="6"/>
  <c r="F25" i="1"/>
  <c r="I25" i="1" s="1"/>
  <c r="C20" i="3" s="1"/>
  <c r="AY56" i="1"/>
  <c r="H52" i="3"/>
  <c r="Q51" i="1"/>
  <c r="E41" i="3" s="1"/>
  <c r="S56" i="1"/>
  <c r="B30" i="6"/>
  <c r="B28" i="5"/>
  <c r="J28" i="3"/>
  <c r="J49" i="3" s="1"/>
  <c r="K25" i="6"/>
  <c r="K23" i="5"/>
  <c r="BR27" i="1"/>
  <c r="J43" i="5"/>
  <c r="M50" i="3"/>
  <c r="R27" i="1"/>
  <c r="U25" i="1"/>
  <c r="F20" i="3" s="1"/>
  <c r="R54" i="1"/>
  <c r="BD27" i="1"/>
  <c r="BD56" i="1" s="1"/>
  <c r="BD55" i="1"/>
  <c r="BD54" i="1"/>
  <c r="BE25" i="1"/>
  <c r="P27" i="1"/>
  <c r="P56" i="1" s="1"/>
  <c r="P54" i="1"/>
  <c r="P55" i="1"/>
  <c r="L35" i="6"/>
  <c r="L33" i="5"/>
  <c r="C24" i="6"/>
  <c r="C22" i="5"/>
  <c r="C44" i="5" s="1"/>
  <c r="K19" i="3"/>
  <c r="C6" i="6"/>
  <c r="C4" i="5"/>
  <c r="K4" i="3"/>
  <c r="D17" i="6"/>
  <c r="D15" i="5"/>
  <c r="L14" i="3"/>
  <c r="L50" i="3" s="1"/>
  <c r="B34" i="6"/>
  <c r="B32" i="5"/>
  <c r="J37" i="3"/>
  <c r="J50" i="3" s="1"/>
  <c r="BM25" i="1"/>
  <c r="BJ54" i="1"/>
  <c r="BJ27" i="1"/>
  <c r="AH55" i="1"/>
  <c r="AH54" i="1"/>
  <c r="AK25" i="1"/>
  <c r="AH27" i="1"/>
  <c r="E30" i="6"/>
  <c r="E49" i="6" s="1"/>
  <c r="E28" i="5"/>
  <c r="M28" i="3"/>
  <c r="M49" i="3" s="1"/>
  <c r="H43" i="5"/>
  <c r="H47" i="5"/>
  <c r="G33" i="5"/>
  <c r="E25" i="6"/>
  <c r="J27" i="6"/>
  <c r="J25" i="5"/>
  <c r="H34" i="6"/>
  <c r="H45" i="6" s="1"/>
  <c r="H32" i="5"/>
  <c r="H44" i="5" s="1"/>
  <c r="K32" i="6"/>
  <c r="K30" i="5"/>
  <c r="BR49" i="1"/>
  <c r="N56" i="1"/>
  <c r="G49" i="3"/>
  <c r="D24" i="6"/>
  <c r="D45" i="6" s="1"/>
  <c r="D22" i="5"/>
  <c r="L19" i="3"/>
  <c r="F17" i="6"/>
  <c r="F15" i="5"/>
  <c r="N14" i="3"/>
  <c r="BW55" i="1"/>
  <c r="BW54" i="1"/>
  <c r="L25" i="6"/>
  <c r="BW27" i="1"/>
  <c r="L23" i="5"/>
  <c r="AR27" i="1"/>
  <c r="AR56" i="1" s="1"/>
  <c r="AR55" i="1"/>
  <c r="AR54" i="1"/>
  <c r="E35" i="6"/>
  <c r="E33" i="5"/>
  <c r="M38" i="3"/>
  <c r="AB27" i="1"/>
  <c r="AB56" i="1" s="1"/>
  <c r="AB55" i="1"/>
  <c r="AB54" i="1"/>
  <c r="AC54" i="1" s="1"/>
  <c r="H44" i="3" s="1"/>
  <c r="F34" i="6"/>
  <c r="F32" i="5"/>
  <c r="N37" i="3"/>
  <c r="AT54" i="1"/>
  <c r="AW54" i="1" s="1"/>
  <c r="H48" i="6"/>
  <c r="J45" i="6"/>
  <c r="G52" i="3"/>
  <c r="AG27" i="1"/>
  <c r="I22" i="3" s="1"/>
  <c r="H55" i="1"/>
  <c r="N30" i="6"/>
  <c r="C30" i="6"/>
  <c r="C28" i="5"/>
  <c r="K28" i="3"/>
  <c r="AM54" i="1"/>
  <c r="AM55" i="1"/>
  <c r="AM27" i="1"/>
  <c r="AM56" i="1" s="1"/>
  <c r="AO37" i="1"/>
  <c r="F24" i="6"/>
  <c r="N19" i="3"/>
  <c r="F22" i="5"/>
  <c r="L47" i="5"/>
  <c r="L48" i="5"/>
  <c r="B19" i="6"/>
  <c r="B17" i="5"/>
  <c r="J16" i="3"/>
  <c r="AZ54" i="1"/>
  <c r="AZ55" i="1"/>
  <c r="AZ27" i="1"/>
  <c r="AZ56" i="1" s="1"/>
  <c r="BA48" i="1"/>
  <c r="CC25" i="1"/>
  <c r="N13" i="5"/>
  <c r="N43" i="5" s="1"/>
  <c r="AW37" i="1"/>
  <c r="AT49" i="1"/>
  <c r="C45" i="6"/>
  <c r="BK55" i="1"/>
  <c r="BK27" i="1"/>
  <c r="BK56" i="1" s="1"/>
  <c r="BK54" i="1"/>
  <c r="U48" i="1"/>
  <c r="F38" i="3" s="1"/>
  <c r="T54" i="1"/>
  <c r="E37" i="1"/>
  <c r="B32" i="3" s="1"/>
  <c r="B49" i="1"/>
  <c r="J49" i="1"/>
  <c r="M37" i="1"/>
  <c r="D32" i="3" s="1"/>
  <c r="AW27" i="1"/>
  <c r="BF51" i="1"/>
  <c r="BI51" i="1" s="1"/>
  <c r="BI49" i="1"/>
  <c r="BL27" i="1"/>
  <c r="BL56" i="1" s="1"/>
  <c r="BL55" i="1"/>
  <c r="BL54" i="1"/>
  <c r="AS48" i="1"/>
  <c r="K47" i="5"/>
  <c r="K43" i="5"/>
  <c r="O27" i="1"/>
  <c r="O56" i="1" s="1"/>
  <c r="O55" i="1"/>
  <c r="Q55" i="1" s="1"/>
  <c r="E45" i="3" s="1"/>
  <c r="O54" i="1"/>
  <c r="N24" i="6"/>
  <c r="N45" i="6" s="1"/>
  <c r="N44" i="5"/>
  <c r="I30" i="6"/>
  <c r="I49" i="6" s="1"/>
  <c r="I28" i="5"/>
  <c r="Y51" i="1"/>
  <c r="G41" i="3" s="1"/>
  <c r="AD54" i="1"/>
  <c r="I37" i="1"/>
  <c r="C32" i="3" s="1"/>
  <c r="AC25" i="1"/>
  <c r="H20" i="3" s="1"/>
  <c r="AD51" i="1"/>
  <c r="AG51" i="1" s="1"/>
  <c r="I41" i="3" s="1"/>
  <c r="AG49" i="1"/>
  <c r="I39" i="3" s="1"/>
  <c r="H56" i="1"/>
  <c r="I52" i="3"/>
  <c r="B24" i="6"/>
  <c r="B22" i="5"/>
  <c r="J19" i="3"/>
  <c r="AI27" i="1"/>
  <c r="AI56" i="1" s="1"/>
  <c r="AI54" i="1"/>
  <c r="AI55" i="1"/>
  <c r="M36" i="6"/>
  <c r="M34" i="5"/>
  <c r="BY51" i="1"/>
  <c r="B30" i="5"/>
  <c r="O15" i="6"/>
  <c r="CG25" i="1"/>
  <c r="O13" i="5"/>
  <c r="AP54" i="1"/>
  <c r="AP27" i="1"/>
  <c r="AS25" i="1"/>
  <c r="AN27" i="1"/>
  <c r="AN56" i="1" s="1"/>
  <c r="AN54" i="1"/>
  <c r="AN55" i="1"/>
  <c r="I17" i="6"/>
  <c r="I15" i="5"/>
  <c r="J39" i="6"/>
  <c r="J38" i="5"/>
  <c r="BF54" i="1"/>
  <c r="BI54" i="1" s="1"/>
  <c r="BI25" i="1"/>
  <c r="BF27" i="1"/>
  <c r="BF55" i="1"/>
  <c r="AX54" i="1"/>
  <c r="AX27" i="1"/>
  <c r="BA25" i="1"/>
  <c r="G55" i="1"/>
  <c r="G54" i="1"/>
  <c r="G27" i="1"/>
  <c r="G56" i="1" s="1"/>
  <c r="M15" i="6"/>
  <c r="BY25" i="1"/>
  <c r="M13" i="5"/>
  <c r="AL25" i="1"/>
  <c r="AK49" i="1"/>
  <c r="AH51" i="1"/>
  <c r="AK51" i="1" s="1"/>
  <c r="AJ55" i="1"/>
  <c r="F28" i="5"/>
  <c r="F47" i="5" s="1"/>
  <c r="N28" i="3"/>
  <c r="N49" i="3" s="1"/>
  <c r="F30" i="6"/>
  <c r="L34" i="5"/>
  <c r="L45" i="5" s="1"/>
  <c r="L36" i="6"/>
  <c r="L46" i="6" s="1"/>
  <c r="BW51" i="1"/>
  <c r="AU55" i="1"/>
  <c r="BE37" i="1"/>
  <c r="BB49" i="1"/>
  <c r="F27" i="1"/>
  <c r="F55" i="1"/>
  <c r="V55" i="1"/>
  <c r="Y55" i="1" s="1"/>
  <c r="G45" i="3" s="1"/>
  <c r="H32" i="6"/>
  <c r="H30" i="5"/>
  <c r="D28" i="5"/>
  <c r="D30" i="6"/>
  <c r="L28" i="3"/>
  <c r="K44" i="6"/>
  <c r="K48" i="6"/>
  <c r="BM37" i="1"/>
  <c r="BJ49" i="1"/>
  <c r="F51" i="1"/>
  <c r="I51" i="1" s="1"/>
  <c r="C41" i="3" s="1"/>
  <c r="I49" i="1"/>
  <c r="C39" i="3" s="1"/>
  <c r="E27" i="1"/>
  <c r="B22" i="3" s="1"/>
  <c r="CC49" i="1"/>
  <c r="N30" i="5"/>
  <c r="N32" i="6" s="1"/>
  <c r="AO48" i="1"/>
  <c r="B15" i="6"/>
  <c r="B13" i="5"/>
  <c r="B48" i="5" s="1"/>
  <c r="J12" i="3"/>
  <c r="C17" i="6"/>
  <c r="C15" i="5"/>
  <c r="K14" i="3"/>
  <c r="K50" i="3" s="1"/>
  <c r="C15" i="6"/>
  <c r="C13" i="5"/>
  <c r="K12" i="3"/>
  <c r="AL51" i="1"/>
  <c r="AO51" i="1" s="1"/>
  <c r="AO49" i="1"/>
  <c r="L48" i="6"/>
  <c r="L49" i="6"/>
  <c r="AK48" i="1"/>
  <c r="BA37" i="1"/>
  <c r="AX49" i="1"/>
  <c r="BB54" i="1"/>
  <c r="BE54" i="1" s="1"/>
  <c r="I14" i="6"/>
  <c r="I12" i="5"/>
  <c r="N6" i="6"/>
  <c r="K5" i="3"/>
  <c r="C7" i="6"/>
  <c r="C5" i="5"/>
  <c r="C48" i="5" s="1"/>
  <c r="AQ54" i="1"/>
  <c r="AQ55" i="1"/>
  <c r="AQ27" i="1"/>
  <c r="AQ56" i="1" s="1"/>
  <c r="H49" i="6"/>
  <c r="J34" i="5"/>
  <c r="J45" i="5" s="1"/>
  <c r="H29" i="5"/>
  <c r="H31" i="6"/>
  <c r="J25" i="1"/>
  <c r="G30" i="6"/>
  <c r="G44" i="6" s="1"/>
  <c r="G28" i="5"/>
  <c r="K49" i="6"/>
  <c r="H17" i="6"/>
  <c r="H15" i="5"/>
  <c r="C53" i="3"/>
  <c r="C49" i="3"/>
  <c r="G17" i="6"/>
  <c r="G15" i="5"/>
  <c r="H48" i="5"/>
  <c r="AS37" i="1"/>
  <c r="AP49" i="1"/>
  <c r="AP55" i="1" s="1"/>
  <c r="H35" i="6"/>
  <c r="H33" i="5"/>
  <c r="J35" i="6"/>
  <c r="J33" i="5"/>
  <c r="K35" i="6"/>
  <c r="BR54" i="1"/>
  <c r="K33" i="5"/>
  <c r="CA27" i="1"/>
  <c r="CA56" i="1" s="1"/>
  <c r="CA54" i="1"/>
  <c r="CA55" i="1"/>
  <c r="BM48" i="1"/>
  <c r="C52" i="3"/>
  <c r="Y49" i="1"/>
  <c r="G39" i="3" s="1"/>
  <c r="Q25" i="1"/>
  <c r="E20" i="3" s="1"/>
  <c r="Q37" i="1"/>
  <c r="E32" i="3" s="1"/>
  <c r="D44" i="5"/>
  <c r="F49" i="3"/>
  <c r="W56" i="1"/>
  <c r="E54" i="1"/>
  <c r="B44" i="3" s="1"/>
  <c r="AD55" i="1"/>
  <c r="AG55" i="1" s="1"/>
  <c r="I45" i="3" s="1"/>
  <c r="M52" i="3" l="1"/>
  <c r="N53" i="3"/>
  <c r="N50" i="3"/>
  <c r="BN56" i="1"/>
  <c r="BN55" i="1"/>
  <c r="N47" i="5"/>
  <c r="AG54" i="1"/>
  <c r="I44" i="3" s="1"/>
  <c r="J36" i="6"/>
  <c r="J46" i="6" s="1"/>
  <c r="C49" i="6"/>
  <c r="Y25" i="1"/>
  <c r="G20" i="3" s="1"/>
  <c r="F54" i="1"/>
  <c r="I54" i="1" s="1"/>
  <c r="C44" i="3" s="1"/>
  <c r="M20" i="3"/>
  <c r="N52" i="3"/>
  <c r="V27" i="1"/>
  <c r="B32" i="6"/>
  <c r="BI55" i="1"/>
  <c r="BE27" i="1"/>
  <c r="E44" i="5"/>
  <c r="K27" i="6"/>
  <c r="K25" i="5"/>
  <c r="I55" i="1"/>
  <c r="C45" i="3" s="1"/>
  <c r="M46" i="6"/>
  <c r="K49" i="3"/>
  <c r="Q56" i="1"/>
  <c r="E46" i="3" s="1"/>
  <c r="J52" i="3"/>
  <c r="J53" i="3"/>
  <c r="M45" i="6"/>
  <c r="U49" i="1"/>
  <c r="F39" i="3" s="1"/>
  <c r="R51" i="1"/>
  <c r="U51" i="1" s="1"/>
  <c r="F41" i="3" s="1"/>
  <c r="Q54" i="1"/>
  <c r="E44" i="3" s="1"/>
  <c r="Q27" i="1"/>
  <c r="E22" i="3" s="1"/>
  <c r="B44" i="5"/>
  <c r="U54" i="1"/>
  <c r="F44" i="3" s="1"/>
  <c r="CE27" i="1"/>
  <c r="CE56" i="1" s="1"/>
  <c r="CE55" i="1"/>
  <c r="CE54" i="1"/>
  <c r="Z51" i="1"/>
  <c r="AC51" i="1" s="1"/>
  <c r="H41" i="3" s="1"/>
  <c r="AC49" i="1"/>
  <c r="H39" i="3" s="1"/>
  <c r="Z55" i="1"/>
  <c r="AC55" i="1" s="1"/>
  <c r="H45" i="3" s="1"/>
  <c r="M44" i="5"/>
  <c r="BA54" i="1"/>
  <c r="BM54" i="1"/>
  <c r="I39" i="6" s="1"/>
  <c r="Z56" i="1"/>
  <c r="AC56" i="1" s="1"/>
  <c r="H46" i="3" s="1"/>
  <c r="M35" i="6"/>
  <c r="M33" i="5"/>
  <c r="G43" i="5"/>
  <c r="G47" i="5"/>
  <c r="G48" i="5"/>
  <c r="AL55" i="1"/>
  <c r="AO55" i="1" s="1"/>
  <c r="AL54" i="1"/>
  <c r="AO54" i="1" s="1"/>
  <c r="AO25" i="1"/>
  <c r="AL27" i="1"/>
  <c r="BA27" i="1"/>
  <c r="G25" i="5"/>
  <c r="G27" i="6"/>
  <c r="O49" i="6"/>
  <c r="O48" i="6"/>
  <c r="O44" i="6"/>
  <c r="O46" i="6"/>
  <c r="I43" i="5"/>
  <c r="I48" i="5"/>
  <c r="I47" i="5"/>
  <c r="E32" i="6"/>
  <c r="E30" i="5"/>
  <c r="M32" i="3"/>
  <c r="E38" i="5"/>
  <c r="E39" i="6"/>
  <c r="M44" i="3"/>
  <c r="J41" i="6"/>
  <c r="J40" i="5"/>
  <c r="B25" i="6"/>
  <c r="B23" i="5"/>
  <c r="J20" i="3"/>
  <c r="BM27" i="1"/>
  <c r="I35" i="6"/>
  <c r="I33" i="5"/>
  <c r="AX51" i="1"/>
  <c r="BA51" i="1" s="1"/>
  <c r="BA49" i="1"/>
  <c r="C33" i="5"/>
  <c r="K38" i="3"/>
  <c r="C35" i="6"/>
  <c r="BJ51" i="1"/>
  <c r="BM51" i="1" s="1"/>
  <c r="BM49" i="1"/>
  <c r="M43" i="5"/>
  <c r="M48" i="5"/>
  <c r="M47" i="5"/>
  <c r="F39" i="6"/>
  <c r="F38" i="5"/>
  <c r="N44" i="3"/>
  <c r="H25" i="6"/>
  <c r="H23" i="5"/>
  <c r="AS55" i="1"/>
  <c r="M45" i="5"/>
  <c r="I44" i="6"/>
  <c r="I48" i="6"/>
  <c r="D33" i="5"/>
  <c r="D35" i="6"/>
  <c r="L38" i="3"/>
  <c r="H34" i="5"/>
  <c r="H45" i="5" s="1"/>
  <c r="H36" i="6"/>
  <c r="H46" i="6" s="1"/>
  <c r="B51" i="1"/>
  <c r="E49" i="1"/>
  <c r="B39" i="3" s="1"/>
  <c r="B55" i="1"/>
  <c r="E55" i="1" s="1"/>
  <c r="B45" i="3" s="1"/>
  <c r="G49" i="6"/>
  <c r="N15" i="6"/>
  <c r="N49" i="6" s="1"/>
  <c r="N48" i="5"/>
  <c r="C43" i="5"/>
  <c r="L38" i="5"/>
  <c r="L39" i="6"/>
  <c r="E43" i="5"/>
  <c r="E47" i="5"/>
  <c r="AK54" i="1"/>
  <c r="I38" i="5"/>
  <c r="B45" i="6"/>
  <c r="K52" i="3"/>
  <c r="K38" i="5"/>
  <c r="K39" i="6"/>
  <c r="AP51" i="1"/>
  <c r="AS51" i="1" s="1"/>
  <c r="AS49" i="1"/>
  <c r="E48" i="5"/>
  <c r="F32" i="6"/>
  <c r="F30" i="5"/>
  <c r="N32" i="3"/>
  <c r="C36" i="6"/>
  <c r="C34" i="5"/>
  <c r="C45" i="5" s="1"/>
  <c r="K39" i="3"/>
  <c r="I32" i="6"/>
  <c r="I30" i="5"/>
  <c r="D49" i="6"/>
  <c r="D44" i="6"/>
  <c r="D48" i="6"/>
  <c r="BB51" i="1"/>
  <c r="BE49" i="1"/>
  <c r="BB55" i="1"/>
  <c r="BE55" i="1" s="1"/>
  <c r="F49" i="6"/>
  <c r="F44" i="6"/>
  <c r="B37" i="6"/>
  <c r="B35" i="5"/>
  <c r="J41" i="3"/>
  <c r="BY27" i="1"/>
  <c r="BY54" i="1"/>
  <c r="BY55" i="1"/>
  <c r="M25" i="6"/>
  <c r="M23" i="5"/>
  <c r="AX55" i="1"/>
  <c r="BA55" i="1" s="1"/>
  <c r="H39" i="6"/>
  <c r="H38" i="5"/>
  <c r="G48" i="6"/>
  <c r="D25" i="6"/>
  <c r="L20" i="3"/>
  <c r="D23" i="5"/>
  <c r="O43" i="5"/>
  <c r="O48" i="5"/>
  <c r="O45" i="5"/>
  <c r="O47" i="5"/>
  <c r="H37" i="6"/>
  <c r="H35" i="5"/>
  <c r="J51" i="1"/>
  <c r="M51" i="1" s="1"/>
  <c r="D41" i="3" s="1"/>
  <c r="M49" i="1"/>
  <c r="D39" i="3" s="1"/>
  <c r="CC55" i="1"/>
  <c r="N39" i="5" s="1"/>
  <c r="N40" i="6" s="1"/>
  <c r="N23" i="5"/>
  <c r="N25" i="6" s="1"/>
  <c r="CC54" i="1"/>
  <c r="N38" i="5" s="1"/>
  <c r="N39" i="6" s="1"/>
  <c r="CC27" i="1"/>
  <c r="L40" i="6"/>
  <c r="L39" i="5"/>
  <c r="BR51" i="1"/>
  <c r="K34" i="5"/>
  <c r="K45" i="5" s="1"/>
  <c r="K36" i="6"/>
  <c r="K46" i="6" s="1"/>
  <c r="BR55" i="1"/>
  <c r="E44" i="6"/>
  <c r="E48" i="6"/>
  <c r="AK55" i="1"/>
  <c r="I23" i="5"/>
  <c r="I25" i="6"/>
  <c r="C47" i="5"/>
  <c r="J40" i="6"/>
  <c r="J39" i="5"/>
  <c r="G38" i="5"/>
  <c r="G39" i="6"/>
  <c r="B48" i="6"/>
  <c r="B44" i="6"/>
  <c r="B49" i="6"/>
  <c r="F43" i="5"/>
  <c r="F48" i="5"/>
  <c r="BI27" i="1"/>
  <c r="BF56" i="1"/>
  <c r="BI56" i="1" s="1"/>
  <c r="AS54" i="1"/>
  <c r="M35" i="5"/>
  <c r="M37" i="6"/>
  <c r="AD56" i="1"/>
  <c r="AG56" i="1" s="1"/>
  <c r="I46" i="3" s="1"/>
  <c r="G23" i="5"/>
  <c r="G25" i="6"/>
  <c r="L49" i="3"/>
  <c r="L52" i="3"/>
  <c r="L53" i="3"/>
  <c r="C44" i="6"/>
  <c r="F44" i="5"/>
  <c r="D32" i="6"/>
  <c r="D30" i="5"/>
  <c r="L32" i="3"/>
  <c r="J27" i="1"/>
  <c r="J55" i="1"/>
  <c r="M55" i="1" s="1"/>
  <c r="D45" i="3" s="1"/>
  <c r="M25" i="1"/>
  <c r="D20" i="3" s="1"/>
  <c r="J54" i="1"/>
  <c r="M54" i="1" s="1"/>
  <c r="D44" i="3" s="1"/>
  <c r="J37" i="6"/>
  <c r="J35" i="5"/>
  <c r="K53" i="3"/>
  <c r="B35" i="6"/>
  <c r="B33" i="5"/>
  <c r="J38" i="3"/>
  <c r="C37" i="6"/>
  <c r="C35" i="5"/>
  <c r="K41" i="3"/>
  <c r="B43" i="5"/>
  <c r="B47" i="5"/>
  <c r="N34" i="5"/>
  <c r="CC51" i="1"/>
  <c r="N35" i="5" s="1"/>
  <c r="N37" i="6" s="1"/>
  <c r="D43" i="5"/>
  <c r="D47" i="5"/>
  <c r="D48" i="5"/>
  <c r="V56" i="1"/>
  <c r="Y56" i="1" s="1"/>
  <c r="G46" i="3" s="1"/>
  <c r="Y27" i="1"/>
  <c r="G22" i="3" s="1"/>
  <c r="F56" i="1"/>
  <c r="I56" i="1" s="1"/>
  <c r="C46" i="3" s="1"/>
  <c r="G32" i="6"/>
  <c r="G30" i="5"/>
  <c r="L35" i="5"/>
  <c r="L37" i="6"/>
  <c r="B36" i="6"/>
  <c r="B34" i="5"/>
  <c r="B45" i="5" s="1"/>
  <c r="J39" i="3"/>
  <c r="M48" i="6"/>
  <c r="M44" i="6"/>
  <c r="F23" i="5"/>
  <c r="F25" i="6"/>
  <c r="N20" i="3"/>
  <c r="H40" i="6"/>
  <c r="H39" i="5"/>
  <c r="AP56" i="1"/>
  <c r="AS56" i="1" s="1"/>
  <c r="AS27" i="1"/>
  <c r="CG27" i="1"/>
  <c r="CG54" i="1"/>
  <c r="CG55" i="1"/>
  <c r="O25" i="6"/>
  <c r="O23" i="5"/>
  <c r="E27" i="6"/>
  <c r="E25" i="5"/>
  <c r="M22" i="3"/>
  <c r="M53" i="3"/>
  <c r="AT51" i="1"/>
  <c r="AW49" i="1"/>
  <c r="AT55" i="1"/>
  <c r="AW55" i="1" s="1"/>
  <c r="F33" i="5"/>
  <c r="F35" i="6"/>
  <c r="N38" i="3"/>
  <c r="C32" i="6"/>
  <c r="C30" i="5"/>
  <c r="K32" i="3"/>
  <c r="M49" i="6"/>
  <c r="N44" i="6"/>
  <c r="F45" i="6"/>
  <c r="L27" i="6"/>
  <c r="L25" i="5"/>
  <c r="BW56" i="1"/>
  <c r="F48" i="6"/>
  <c r="AK27" i="1"/>
  <c r="AH56" i="1"/>
  <c r="AK56" i="1" s="1"/>
  <c r="BJ55" i="1"/>
  <c r="BM55" i="1" s="1"/>
  <c r="C48" i="6"/>
  <c r="U27" i="1"/>
  <c r="F22" i="3" s="1"/>
  <c r="B46" i="6" l="1"/>
  <c r="R56" i="1"/>
  <c r="U56" i="1" s="1"/>
  <c r="F46" i="3" s="1"/>
  <c r="J56" i="1"/>
  <c r="M56" i="1" s="1"/>
  <c r="D46" i="3" s="1"/>
  <c r="N48" i="6"/>
  <c r="I40" i="6"/>
  <c r="I39" i="5"/>
  <c r="L41" i="6"/>
  <c r="L40" i="5"/>
  <c r="E40" i="6"/>
  <c r="E39" i="5"/>
  <c r="M45" i="3"/>
  <c r="D27" i="6"/>
  <c r="D25" i="5"/>
  <c r="L22" i="3"/>
  <c r="D39" i="6"/>
  <c r="D38" i="5"/>
  <c r="L44" i="3"/>
  <c r="K40" i="6"/>
  <c r="K39" i="5"/>
  <c r="F40" i="6"/>
  <c r="F39" i="5"/>
  <c r="N45" i="3"/>
  <c r="M39" i="6"/>
  <c r="M38" i="5"/>
  <c r="G34" i="5"/>
  <c r="G45" i="5" s="1"/>
  <c r="G36" i="6"/>
  <c r="G46" i="6" s="1"/>
  <c r="F36" i="6"/>
  <c r="F46" i="6" s="1"/>
  <c r="F34" i="5"/>
  <c r="F45" i="5" s="1"/>
  <c r="N39" i="3"/>
  <c r="AL56" i="1"/>
  <c r="AO56" i="1" s="1"/>
  <c r="AO27" i="1"/>
  <c r="E36" i="6"/>
  <c r="E46" i="6" s="1"/>
  <c r="E34" i="5"/>
  <c r="E45" i="5" s="1"/>
  <c r="M39" i="3"/>
  <c r="D40" i="5"/>
  <c r="D41" i="6"/>
  <c r="L46" i="3"/>
  <c r="BY56" i="1"/>
  <c r="M27" i="6"/>
  <c r="M25" i="5"/>
  <c r="BE51" i="1"/>
  <c r="BB56" i="1"/>
  <c r="BE56" i="1" s="1"/>
  <c r="E51" i="1"/>
  <c r="B41" i="3" s="1"/>
  <c r="B56" i="1"/>
  <c r="E56" i="1" s="1"/>
  <c r="B46" i="3" s="1"/>
  <c r="BJ56" i="1"/>
  <c r="BM56" i="1" s="1"/>
  <c r="C25" i="6"/>
  <c r="C23" i="5"/>
  <c r="K20" i="3"/>
  <c r="CC56" i="1"/>
  <c r="N40" i="5" s="1"/>
  <c r="N41" i="6" s="1"/>
  <c r="N25" i="5"/>
  <c r="N27" i="6" s="1"/>
  <c r="D36" i="6"/>
  <c r="D46" i="6" s="1"/>
  <c r="D34" i="5"/>
  <c r="D45" i="5" s="1"/>
  <c r="L39" i="3"/>
  <c r="B39" i="6"/>
  <c r="B38" i="5"/>
  <c r="J44" i="3"/>
  <c r="D40" i="6"/>
  <c r="D39" i="5"/>
  <c r="L45" i="3"/>
  <c r="F27" i="6"/>
  <c r="F25" i="5"/>
  <c r="N22" i="3"/>
  <c r="C39" i="6"/>
  <c r="C38" i="5"/>
  <c r="K44" i="3"/>
  <c r="I35" i="5"/>
  <c r="I37" i="6"/>
  <c r="I25" i="5"/>
  <c r="I27" i="6"/>
  <c r="B41" i="6"/>
  <c r="J46" i="3"/>
  <c r="B40" i="5"/>
  <c r="O40" i="6"/>
  <c r="O39" i="5"/>
  <c r="H40" i="5"/>
  <c r="H41" i="6"/>
  <c r="B40" i="6"/>
  <c r="B39" i="5"/>
  <c r="J45" i="3"/>
  <c r="C46" i="6"/>
  <c r="F37" i="6"/>
  <c r="F35" i="5"/>
  <c r="N41" i="3"/>
  <c r="B27" i="6"/>
  <c r="B25" i="5"/>
  <c r="J22" i="3"/>
  <c r="AW51" i="1"/>
  <c r="AT56" i="1"/>
  <c r="AW56" i="1" s="1"/>
  <c r="O39" i="6"/>
  <c r="O38" i="5"/>
  <c r="H25" i="5"/>
  <c r="H27" i="6"/>
  <c r="O27" i="6"/>
  <c r="CG56" i="1"/>
  <c r="O25" i="5"/>
  <c r="N36" i="6"/>
  <c r="N46" i="6" s="1"/>
  <c r="N45" i="5"/>
  <c r="K37" i="6"/>
  <c r="K35" i="5"/>
  <c r="BR56" i="1"/>
  <c r="M40" i="6"/>
  <c r="M39" i="5"/>
  <c r="G39" i="5"/>
  <c r="G40" i="6"/>
  <c r="D37" i="6"/>
  <c r="D35" i="5"/>
  <c r="L41" i="3"/>
  <c r="I34" i="5"/>
  <c r="I45" i="5" s="1"/>
  <c r="I36" i="6"/>
  <c r="I46" i="6" s="1"/>
  <c r="AX56" i="1"/>
  <c r="BA56" i="1" s="1"/>
  <c r="C40" i="6"/>
  <c r="C39" i="5"/>
  <c r="K45" i="3"/>
  <c r="E37" i="6" l="1"/>
  <c r="M41" i="3"/>
  <c r="E35" i="5"/>
  <c r="F41" i="6"/>
  <c r="F40" i="5"/>
  <c r="N46" i="3"/>
  <c r="O41" i="6"/>
  <c r="O40" i="5"/>
  <c r="G40" i="5"/>
  <c r="G41" i="6"/>
  <c r="M41" i="6"/>
  <c r="M40" i="5"/>
  <c r="C41" i="6"/>
  <c r="C40" i="5"/>
  <c r="K46" i="3"/>
  <c r="K41" i="6"/>
  <c r="K40" i="5"/>
  <c r="E41" i="6"/>
  <c r="M46" i="3"/>
  <c r="E40" i="5"/>
  <c r="C27" i="6"/>
  <c r="C25" i="5"/>
  <c r="K22" i="3"/>
  <c r="I40" i="5"/>
  <c r="I41" i="6"/>
  <c r="G35" i="5"/>
  <c r="G37" i="6"/>
</calcChain>
</file>

<file path=xl/sharedStrings.xml><?xml version="1.0" encoding="utf-8"?>
<sst xmlns="http://schemas.openxmlformats.org/spreadsheetml/2006/main" count="395" uniqueCount="186">
  <si>
    <t>Year Ended</t>
  </si>
  <si>
    <t>Fees</t>
  </si>
  <si>
    <t>Establishment Expenses</t>
  </si>
  <si>
    <t>Library</t>
  </si>
  <si>
    <t>Notes</t>
  </si>
  <si>
    <t>Sales</t>
  </si>
  <si>
    <t>Less Commission</t>
  </si>
  <si>
    <t>Fees are now £5 annually</t>
  </si>
  <si>
    <t>Govt Grant £1000</t>
  </si>
  <si>
    <t>Grants: govt 2500, ICI £1000</t>
  </si>
  <si>
    <t>Transfers from Publication Fund, and 3 other named funds</t>
  </si>
  <si>
    <t>Otherwise, Publications deficit would be £1773.10.0 (stated)</t>
  </si>
  <si>
    <t>TOTAL PUBLICATIONS INCOME</t>
  </si>
  <si>
    <t>£</t>
  </si>
  <si>
    <t>s</t>
  </si>
  <si>
    <t>d</t>
  </si>
  <si>
    <t>TRANSFERS TO PUBS</t>
  </si>
  <si>
    <t>GENERAL INCOME</t>
  </si>
  <si>
    <t>PUBLICATIONS INCOME</t>
  </si>
  <si>
    <t>EXPENDITURE GENERAL</t>
  </si>
  <si>
    <t>PUBLICATIONS EXPENDITURE</t>
  </si>
  <si>
    <t>Other</t>
  </si>
  <si>
    <t>TRANSFERS to General</t>
  </si>
  <si>
    <t>Misc</t>
  </si>
  <si>
    <t>Transfers from Publication Fund; Messel Fund; and Mond Fund</t>
  </si>
  <si>
    <t>Balance of Sci Publn Grant £695 ('grants out' no longer shown here) Donation from ICI £1000</t>
  </si>
  <si>
    <t>Salaries, Pubs staff</t>
  </si>
  <si>
    <t>Production Costs</t>
  </si>
  <si>
    <t>Reduced carryforward PUBS</t>
  </si>
  <si>
    <t>Publications Grants income</t>
  </si>
  <si>
    <t>Publications Grants out</t>
  </si>
  <si>
    <t>TOTAL GENERAL INCOME (calculated)</t>
  </si>
  <si>
    <t>GENERAL FUNDS</t>
  </si>
  <si>
    <t>TOTAL GENERAL EXPENDITURE (calculated)</t>
  </si>
  <si>
    <t>GENERAL FUNDS BALANCE</t>
  </si>
  <si>
    <t>PUBLICATION FUNDS</t>
  </si>
  <si>
    <t>SUBTOTAL</t>
  </si>
  <si>
    <t>TOTAL (calculated)</t>
  </si>
  <si>
    <t>PUBLICATIONS BALANCE (before grants)</t>
  </si>
  <si>
    <t>PUBLICATIONS BALANCE (after grants)</t>
  </si>
  <si>
    <t>GENERAL BALANCE (after transfers)</t>
  </si>
  <si>
    <t>Misc Projects</t>
  </si>
  <si>
    <t>Project=Catalogue</t>
  </si>
  <si>
    <t>project=YearBook</t>
  </si>
  <si>
    <t>STATE OF THE SOCIETY</t>
  </si>
  <si>
    <t>SOCIETY BALANCE (after grants and transfers)</t>
  </si>
  <si>
    <t>SOCIETY BALANCE (before grants) (calc)</t>
  </si>
  <si>
    <t>SOCIETY BALANCE (after grants) (calc)</t>
  </si>
  <si>
    <t>PUBLICATIONS BALANCE (after grants/transfers)</t>
  </si>
  <si>
    <t>No incoming grants shown</t>
  </si>
  <si>
    <t>Tercentenary appeal generated funds for investment and also for spending.</t>
  </si>
  <si>
    <t>Not clear where the £38,000 transfer came from.</t>
  </si>
  <si>
    <t>Catering Income</t>
  </si>
  <si>
    <t>Catering Purchases</t>
  </si>
  <si>
    <t>No grants shown</t>
  </si>
  <si>
    <t>Society's shown outcomes is a loss of £76,490, which is 3000 different from my sums…</t>
  </si>
  <si>
    <t>Value of Society</t>
  </si>
  <si>
    <t>Reduced carryforward GENERAL</t>
  </si>
  <si>
    <t>No Pubs grant shown on main page</t>
  </si>
  <si>
    <t>Loss is shown only as a reduced balance at bank</t>
  </si>
  <si>
    <t>Society's investments =</t>
  </si>
  <si>
    <t>not counting property</t>
  </si>
  <si>
    <t>No Pubs grant shown</t>
  </si>
  <si>
    <t>Unusually, inc/exp have not been made to balance</t>
  </si>
  <si>
    <t>Lots of unusual activity this year, with sale of property, purchase of property and shares, and legal charges</t>
  </si>
  <si>
    <t>Administration Charges (from sundry funds)</t>
  </si>
  <si>
    <t>Salaries, stipends and pensions</t>
  </si>
  <si>
    <t>Balance Sheet 1890</t>
  </si>
  <si>
    <t>Balance Sheet 1880</t>
  </si>
  <si>
    <t>Balance Sheet 1870</t>
  </si>
  <si>
    <t>Investments &amp; Rents</t>
  </si>
  <si>
    <t>£585 of income is from a mortgage loan</t>
  </si>
  <si>
    <t>£586 of income is from a mortgate loan.</t>
  </si>
  <si>
    <t>NB £ s d are raw, not properly rounded</t>
  </si>
  <si>
    <t>GENERAL FUNDS (d)</t>
  </si>
  <si>
    <t>Publication Sales</t>
  </si>
  <si>
    <t>Publication Costs</t>
  </si>
  <si>
    <t>Proc v4, pp106-8</t>
  </si>
  <si>
    <t>Council Minutes 1765-11-30</t>
  </si>
  <si>
    <t>Proc 1850, pp1029-34</t>
  </si>
  <si>
    <t>Proc 1860, pp22-24</t>
  </si>
  <si>
    <t>Both income and exp include restricted funds, and the medals/prizes etc paid from them</t>
  </si>
  <si>
    <t>Catering income = payments from other learned socs for use of premises (with lighting and tea)</t>
  </si>
  <si>
    <t>Proc v4, pp272-6</t>
  </si>
  <si>
    <t>Special' is the magnetic observations, paid for by RS, but reclaimed from government. Restricted funds etc are excluded.</t>
  </si>
  <si>
    <t>Library is high because of Panizzi making catalogue, plus new bookcases etc</t>
  </si>
  <si>
    <t>inc in above</t>
  </si>
  <si>
    <t>Proc v3, pp.238-42</t>
  </si>
  <si>
    <t>Publication costs include Abstracts of RS back to 1800 (£583); and they've started Proc as well as Trans</t>
  </si>
  <si>
    <t>from DM</t>
  </si>
  <si>
    <t>Proc v3, pp.307-11</t>
  </si>
  <si>
    <t>Publication Income as % of Income (Fees, Investments + Pubs only)</t>
  </si>
  <si>
    <t>Publication Costs as % of Expenditure (Staff, Establishment, Pubs)</t>
  </si>
  <si>
    <t>Membership Income as % of Income</t>
  </si>
  <si>
    <t>Investments Income as % of Income</t>
  </si>
  <si>
    <t>Govt grant for rent</t>
  </si>
  <si>
    <t>£6,200 for Scientific Publications shown (p.311) under Parliamentary Grants - and £8,300 was disbursed (there was a balance from previous year)</t>
  </si>
  <si>
    <t>"cost of sales"</t>
  </si>
  <si>
    <t>Distribution, Postage</t>
  </si>
  <si>
    <t>Overheads</t>
  </si>
  <si>
    <t>Audit/accountancy fees</t>
  </si>
  <si>
    <t>General expenses</t>
  </si>
  <si>
    <t>Misc (inc depreciation, exchange rate diff)</t>
  </si>
  <si>
    <t>1990 year book not only shows Pubs making major surplus, but shows lots of things (salaries, expenses, overheads) being set off against Pubs income rather than in the general Society expenses</t>
  </si>
  <si>
    <t>New layout</t>
  </si>
  <si>
    <t>Charitable Expenditure (not grant-funded)</t>
  </si>
  <si>
    <t>Catering Purchases / Conferences Catering Events (1999+)</t>
  </si>
  <si>
    <t>Catering Income / Conferences, Catering, Events (1999+)</t>
  </si>
  <si>
    <t>mostly depreciation</t>
  </si>
  <si>
    <t>Publicity, Advertising, Marketing</t>
  </si>
  <si>
    <t>inc publicity for relaunch</t>
  </si>
  <si>
    <t>"net surplus transferred to General Funds"</t>
  </si>
  <si>
    <t>??</t>
  </si>
  <si>
    <t>Accounts sheet clearly shows pubs surplus being used to write-off part of the general deficit. Rest of the "operating deficit" is covered by "realised net investment gains" and by reducing the balance carried forward in the "accumulated general funds"; note that this year, there was an expensive re-launch of the journals, and a refurbishment of the Archive room.</t>
  </si>
  <si>
    <t>Trustees' Report 2005-06: 14</t>
  </si>
  <si>
    <t>Contributions for charitable activities</t>
  </si>
  <si>
    <t>Utterly opaque layout!!</t>
  </si>
  <si>
    <t>2005: impossible to disaggregate the various costs, because they are now assigned to 'costs of generating funds', 'costs of charitable activities', 'costs of governance', instead of to headings like salaries, establishment, library etc.</t>
  </si>
  <si>
    <t>Trustees' Report 2010-11: 14-</t>
  </si>
  <si>
    <t>exc Pubs &amp; Trading</t>
  </si>
  <si>
    <t>Govt Grant for Rent</t>
  </si>
  <si>
    <t>GENERAL FUNDS (£)</t>
  </si>
  <si>
    <t>Computer / technology</t>
  </si>
  <si>
    <t>Donations &amp; Gifts</t>
  </si>
  <si>
    <t>Computer Equipment</t>
  </si>
  <si>
    <t>Donations and Gifts</t>
  </si>
  <si>
    <t>Catering/Events/Conferences Income</t>
  </si>
  <si>
    <t>Catering/Events/Conferences costs</t>
  </si>
  <si>
    <t>Publication Sales (net)</t>
  </si>
  <si>
    <t>Publications Grants subsidy</t>
  </si>
  <si>
    <t>Administration Charges (grants)</t>
  </si>
  <si>
    <t>Publication Income as % of Income (not grants)</t>
  </si>
  <si>
    <t>Publication Costs as % of Expenditure (excluding grants)</t>
  </si>
  <si>
    <t>Publication Surplus as % of RS Income (not grants)</t>
  </si>
  <si>
    <t>deflator (indexed to 1970=100)</t>
  </si>
  <si>
    <t>100/deflator</t>
  </si>
  <si>
    <t>Trustees' Report 2000-2001: 6-</t>
  </si>
  <si>
    <t>exc Pubs &amp; Trading, exc salaries</t>
  </si>
  <si>
    <t>Year Ending in…</t>
  </si>
  <si>
    <t>NB all values in old pennies, 240d = £1</t>
  </si>
  <si>
    <t>Source</t>
  </si>
  <si>
    <t>YearBook 1901: 170-71</t>
  </si>
  <si>
    <t>YearBook 1911:188-89</t>
  </si>
  <si>
    <t>YearBook 1921:168-69</t>
  </si>
  <si>
    <t>YearBook 1931: 184-5</t>
  </si>
  <si>
    <t>YearBook 1941: 96-97</t>
  </si>
  <si>
    <t>YearBook 1951: 210-11</t>
  </si>
  <si>
    <t>YearBook 1961: 282-3</t>
  </si>
  <si>
    <t>YearBook 1971: 424-5</t>
  </si>
  <si>
    <t>YearBook 1980: 302-3</t>
  </si>
  <si>
    <t>YearBook 1981: 310</t>
  </si>
  <si>
    <t>YearBook 1991: 337-39</t>
  </si>
  <si>
    <t>YearBook 2000: G3</t>
  </si>
  <si>
    <t>README</t>
  </si>
  <si>
    <t>This spreadsheet contains my transcriptions of the Royal Society's annual accounts at ten-year intervals from the 1830s to 2010 (plus an attempt to recreate equivalent data for 1765)</t>
  </si>
  <si>
    <t>GENERAL FUNDS (adjusted to 1970£)</t>
  </si>
  <si>
    <t>It was created in an effort to understand the wider financial context in which the publishing finances operated. I therefore purposefully separated out all the costs/income I could identify that were related to publishing the journals, even in those years when the Society's treasurers did not operate a 'publications account' separately from the 'general account' (or 'general operating budget'). There will be inconsistencies for many reasons: change of accounting practices over the years; difficulty of identifying journal-related costs/income; difficulty of separating internal paperwork costs from journal costs; difficulty of identifying staff costs for publishing journals... etc. But this is the best data I've got after 8+ years of wrestling with the Royal Society archives.</t>
  </si>
  <si>
    <t>by Aileen Fyfe akf@st-andrews.ac.uk 29 September 2022</t>
  </si>
  <si>
    <t>Sources</t>
  </si>
  <si>
    <t>By 2000, the annual accounts were appearing in a publication known as the 'Trustees' Report' (and these are available from the RS website)</t>
  </si>
  <si>
    <t>From 1833, the annual accounts were published in Proceedings of RS (under headings such as Treasurers' Report, or 'Anniversary meeting' or similar). The Proceedings has been digitised, and is available from the RS website. Some of our data for these years, however, comes from the archival copies of the 'Balance Sheets', because these had more detail.</t>
  </si>
  <si>
    <t>Prior to the 1830s, the Royal Society balanced its books every November 30th, but did not usually produce something that we would recognise as 'annual accounts'. The Treasurer would report to the Council on the 'cash at hand' (essentially, the bank balance) at the year end, and comment on whether it was up or down from last year. For 1765, the Treasurer reported enough detail (in the Council Minutes) for us to recreate a sketchy 'annual account'.</t>
  </si>
  <si>
    <t>From 1897, the Society began to publish a Year Book (essentially, a directory for the year ahead, but including reports on the previous year). Some of the pre-1910 Year Books can be found on Google Books, but for the rest of the 20thC, we had to check physical copies (which exist in university libraries across the UK). Annual accounts appear in year books from start; in addition to the general income/expenditure, there are details about assets (cash at bank, property, investments) and separate accounts for each named fund (giving the value of each, but also the holdings which represent that fund). The list of separate funds gets longer as we go further into the C20. By 1940, the accounts are rearranged into 4 categories: General Purposes Accounts, Special Funds, Research Funds and Parliamentary Grants. The latter 3 take up most space.</t>
  </si>
  <si>
    <r>
      <t xml:space="preserve">The Royal Society publishes </t>
    </r>
    <r>
      <rPr>
        <b/>
        <sz val="11"/>
        <color theme="1"/>
        <rFont val="Calibri"/>
        <family val="2"/>
        <scheme val="minor"/>
      </rPr>
      <t>other periodicals</t>
    </r>
    <r>
      <rPr>
        <sz val="11"/>
        <color theme="1"/>
        <rFont val="Calibri"/>
        <family val="2"/>
        <scheme val="minor"/>
      </rPr>
      <t xml:space="preserve"> in addition to its scientific research journals: the </t>
    </r>
    <r>
      <rPr>
        <i/>
        <sz val="11"/>
        <color theme="1"/>
        <rFont val="Calibri"/>
        <family val="2"/>
        <scheme val="minor"/>
      </rPr>
      <t>Year Book</t>
    </r>
    <r>
      <rPr>
        <sz val="11"/>
        <color theme="1"/>
        <rFont val="Calibri"/>
        <family val="2"/>
        <scheme val="minor"/>
      </rPr>
      <t xml:space="preserve">, 1897; </t>
    </r>
    <r>
      <rPr>
        <i/>
        <sz val="11"/>
        <color theme="1"/>
        <rFont val="Calibri"/>
        <family val="2"/>
        <scheme val="minor"/>
      </rPr>
      <t>Obituary Notices</t>
    </r>
    <r>
      <rPr>
        <sz val="11"/>
        <color theme="1"/>
        <rFont val="Calibri"/>
        <family val="2"/>
        <scheme val="minor"/>
      </rPr>
      <t xml:space="preserve">, 1932 (later </t>
    </r>
    <r>
      <rPr>
        <i/>
        <sz val="11"/>
        <color theme="1"/>
        <rFont val="Calibri"/>
        <family val="2"/>
        <scheme val="minor"/>
      </rPr>
      <t>Biographical Memoirs</t>
    </r>
    <r>
      <rPr>
        <sz val="11"/>
        <color theme="1"/>
        <rFont val="Calibri"/>
        <family val="2"/>
        <scheme val="minor"/>
      </rPr>
      <t>); and</t>
    </r>
    <r>
      <rPr>
        <i/>
        <sz val="11"/>
        <color theme="1"/>
        <rFont val="Calibri"/>
        <family val="2"/>
        <scheme val="minor"/>
      </rPr>
      <t xml:space="preserve"> Notes &amp; Records</t>
    </r>
    <r>
      <rPr>
        <sz val="11"/>
        <color theme="1"/>
        <rFont val="Calibri"/>
        <family val="2"/>
        <scheme val="minor"/>
      </rPr>
      <t>, 1938. For most of the twentieth century, these periodicals had minimal circulation beyond the fellowship, and therefore minimal sales; but they did have costs. Those costs were usually (but not always) treated as part of the ‘publications account’.</t>
    </r>
  </si>
  <si>
    <r>
      <t xml:space="preserve">Is there a </t>
    </r>
    <r>
      <rPr>
        <b/>
        <sz val="11"/>
        <color theme="1"/>
        <rFont val="Calibri"/>
        <family val="2"/>
        <scheme val="minor"/>
      </rPr>
      <t>separate Publications Account</t>
    </r>
    <r>
      <rPr>
        <sz val="11"/>
        <color theme="1"/>
        <rFont val="Calibri"/>
        <family val="2"/>
        <scheme val="minor"/>
      </rPr>
      <t>? Prior to the 1920s, the printing/publishing costs were presented as part of the Society's overall accounts. A separate 'Publications Account' began to be managed from the 1920s (separate from the General Account). But this disappeared again (from the public presentation of the finances) in the early 21stC</t>
    </r>
  </si>
  <si>
    <t>Other comments:</t>
  </si>
  <si>
    <t>The 1990 Accounts are the first (of the ones I've looked at) which has an explicit statement of accounting principles</t>
  </si>
  <si>
    <t>In the late 19th and early 20th centuries, it was common practice for Treasurers to make 'transfers' of funds to cover what would otherwise be deficits in the general operating budget (these deficits were often caused by the publication expenses). This was a way of using benevolent income (from donations, grants, bequests) to support the Society's activities. Sometimes, it was a transfer of income generated by the invested funds, but in particularly bad years, the funds transferred involved eating into capital.</t>
  </si>
  <si>
    <t>Accounting Practices</t>
  </si>
  <si>
    <t>Preamble</t>
  </si>
  <si>
    <t>Contents</t>
  </si>
  <si>
    <t>Tab1</t>
  </si>
  <si>
    <t>This README</t>
  </si>
  <si>
    <t>Tab2</t>
  </si>
  <si>
    <t>The annual accounts, transcribed. Originally in £ s d, so I've added an extra column which converts the pre-1970 values into old pennies (240d=£1). The sub-total categories are imposed by me (because accounting practices changed so much over the years), and the values shown for these categories are calculated by me, not shown in the original documents. The row title makes this clear with 'calculated'.</t>
  </si>
  <si>
    <t>Tab3</t>
  </si>
  <si>
    <t>Tab4</t>
  </si>
  <si>
    <t>The long 20thC: this tab (like the previous) is easier to use: it uses £ as its consistent currency, noting the change to decimalisation in 1970. It was created specifically to look at changes in finances (and publishing finances) over the long 20thC. It has lots of graphs looking at various aspects of publishing finances.</t>
  </si>
  <si>
    <t>The long 18thC: this tab (and the next) is  easier to use: it uses 'old pennies' as a consistent (Excel-friendly) currency, and was created specifically to look at changes in finances (and publishing finances) over the long 18thC. It has lots of graphs looking at various aspects of publishing finances.</t>
  </si>
  <si>
    <t>Tab5</t>
  </si>
  <si>
    <t>This is a copy of Tab4, with all the values adjusted for inflation. The values are in 1970£, and were adjusted using the deflator data at MeasuringWorth.com. The trends shown in its graphs are therefore adjusted for inflation.</t>
  </si>
  <si>
    <r>
      <rPr>
        <b/>
        <sz val="11"/>
        <color theme="1"/>
        <rFont val="Calibri"/>
        <family val="2"/>
        <scheme val="minor"/>
      </rPr>
      <t>What is the</t>
    </r>
    <r>
      <rPr>
        <sz val="11"/>
        <color theme="1"/>
        <rFont val="Calibri"/>
        <family val="2"/>
        <scheme val="minor"/>
      </rPr>
      <t xml:space="preserve"> </t>
    </r>
    <r>
      <rPr>
        <b/>
        <sz val="11"/>
        <color theme="1"/>
        <rFont val="Calibri"/>
        <family val="2"/>
        <scheme val="minor"/>
      </rPr>
      <t>financial year</t>
    </r>
    <r>
      <rPr>
        <sz val="11"/>
        <color theme="1"/>
        <rFont val="Calibri"/>
        <family val="2"/>
        <scheme val="minor"/>
      </rPr>
      <t>? The Society's traditional accounting year had ended on its anniversary day, 30 November. During the twentieth century, its financial year-end gradually moved earlier. This meant that, in 1939, 1968 and 1991, accounts were prepared for a period less than 12 months. Most notably, the financial ‘year’ 1991 was a mere 7 months.</t>
    </r>
  </si>
  <si>
    <r>
      <rPr>
        <b/>
        <sz val="11"/>
        <color theme="1"/>
        <rFont val="Calibri"/>
        <family val="2"/>
        <scheme val="minor"/>
      </rPr>
      <t xml:space="preserve">What counts as income? </t>
    </r>
    <r>
      <rPr>
        <sz val="11"/>
        <color theme="1"/>
        <rFont val="Calibri"/>
        <family val="2"/>
        <scheme val="minor"/>
      </rPr>
      <t>From c.1910 until 1957, the figure reported publicly for publications income included philanthropic income received to support publications (e.g. grants, donations), as well as commercial income (e.g. sales, royalties etc).</t>
    </r>
  </si>
  <si>
    <r>
      <rPr>
        <b/>
        <sz val="11"/>
        <color theme="1"/>
        <rFont val="Calibri"/>
        <family val="2"/>
        <scheme val="minor"/>
      </rPr>
      <t>How are staff and overhead expenses counted?</t>
    </r>
    <r>
      <rPr>
        <sz val="11"/>
        <color theme="1"/>
        <rFont val="Calibri"/>
        <family val="2"/>
        <scheme val="minor"/>
      </rPr>
      <t xml:space="preserve"> Staff costs (and overheads) were sometimes charged to the publishing account, and sometimes absorbed in the general Society account.</t>
    </r>
  </si>
  <si>
    <t>There are six changes in accounting practice that affect the comparability of these data over time:</t>
  </si>
  <si>
    <r>
      <rPr>
        <b/>
        <sz val="11"/>
        <color theme="1"/>
        <rFont val="Calibri"/>
        <family val="2"/>
        <scheme val="minor"/>
      </rPr>
      <t>Decimalisation</t>
    </r>
    <r>
      <rPr>
        <sz val="11"/>
        <color theme="1"/>
        <rFont val="Calibri"/>
        <family val="2"/>
        <scheme val="minor"/>
      </rPr>
      <t>: until 1970, Britain used the imperial system, with 12 pennies (12d)  = 1 shilling, and 20 shillings (20s) = 1 pound (thus, 240d = £1). In 1970, it changed to a decimal system, in which 100 pennies (100p) = £1. Excel does not cope well with imperial £sd, which is why Tabs 2 and 3 use 'old pennies'. For the long 20thC, values are all 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</si>
</sst>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4"/>
      <color theme="1"/>
      <name val="Calibri"/>
      <family val="2"/>
      <scheme val="minor"/>
    </font>
    <font>
      <sz val="11"/>
      <color rgb="FFFF0000"/>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9.9978637043366805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43" fontId="3" fillId="0" borderId="0" applyFont="0" applyFill="0" applyBorder="0" applyAlignment="0" applyProtection="0"/>
  </cellStyleXfs>
  <cellXfs count="75">
    <xf numFmtId="0" fontId="0" fillId="0" borderId="0" xfId="0"/>
    <xf numFmtId="0" fontId="1" fillId="2" borderId="0" xfId="0" applyFont="1" applyFill="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0" borderId="0" xfId="0" applyFill="1"/>
    <xf numFmtId="0" fontId="0" fillId="0" borderId="0" xfId="0" applyFill="1" applyAlignment="1">
      <alignment horizontal="right"/>
    </xf>
    <xf numFmtId="0" fontId="0" fillId="0" borderId="0" xfId="0" applyFont="1" applyFill="1"/>
    <xf numFmtId="0" fontId="0" fillId="7" borderId="0" xfId="0" applyFill="1"/>
    <xf numFmtId="0" fontId="1" fillId="5" borderId="0" xfId="0" applyFont="1" applyFill="1"/>
    <xf numFmtId="0" fontId="1" fillId="7" borderId="0" xfId="0" applyFont="1" applyFill="1"/>
    <xf numFmtId="0" fontId="2" fillId="0" borderId="0" xfId="0" applyFont="1"/>
    <xf numFmtId="164" fontId="0" fillId="0" borderId="0" xfId="1" applyNumberFormat="1" applyFont="1" applyFill="1"/>
    <xf numFmtId="164" fontId="0" fillId="0" borderId="0" xfId="1" applyNumberFormat="1" applyFont="1" applyFill="1" applyAlignment="1">
      <alignment horizontal="right"/>
    </xf>
    <xf numFmtId="0" fontId="4" fillId="0" borderId="0" xfId="0" applyFont="1"/>
    <xf numFmtId="0" fontId="1" fillId="0" borderId="0" xfId="0" applyFont="1" applyFill="1"/>
    <xf numFmtId="0" fontId="4" fillId="0" borderId="0" xfId="0" applyFont="1" applyFill="1"/>
    <xf numFmtId="0" fontId="0" fillId="8" borderId="0" xfId="0" applyFill="1"/>
    <xf numFmtId="0" fontId="0" fillId="9" borderId="0" xfId="0" applyFill="1"/>
    <xf numFmtId="0" fontId="1" fillId="9" borderId="0" xfId="0" applyFont="1" applyFill="1"/>
    <xf numFmtId="164" fontId="0" fillId="7" borderId="0" xfId="1" applyNumberFormat="1" applyFont="1" applyFill="1"/>
    <xf numFmtId="164" fontId="0" fillId="0" borderId="0" xfId="1" applyNumberFormat="1" applyFont="1"/>
    <xf numFmtId="164" fontId="0" fillId="3" borderId="0" xfId="1" applyNumberFormat="1" applyFont="1" applyFill="1"/>
    <xf numFmtId="164" fontId="0" fillId="2" borderId="0" xfId="1" applyNumberFormat="1" applyFont="1" applyFill="1"/>
    <xf numFmtId="164" fontId="0" fillId="8" borderId="0" xfId="1" applyNumberFormat="1" applyFont="1" applyFill="1"/>
    <xf numFmtId="164" fontId="0" fillId="9" borderId="0" xfId="1" applyNumberFormat="1" applyFont="1" applyFill="1"/>
    <xf numFmtId="164" fontId="0" fillId="5" borderId="0" xfId="1" applyNumberFormat="1" applyFont="1" applyFill="1"/>
    <xf numFmtId="164" fontId="0" fillId="4" borderId="0" xfId="1" applyNumberFormat="1" applyFont="1" applyFill="1"/>
    <xf numFmtId="164" fontId="0" fillId="6" borderId="0" xfId="1" applyNumberFormat="1" applyFont="1" applyFill="1"/>
    <xf numFmtId="0" fontId="1" fillId="7" borderId="0" xfId="0" applyNumberFormat="1" applyFont="1" applyFill="1"/>
    <xf numFmtId="0" fontId="0" fillId="0" borderId="0" xfId="1" applyNumberFormat="1" applyFont="1" applyFill="1"/>
    <xf numFmtId="0" fontId="1" fillId="7" borderId="0" xfId="1" applyNumberFormat="1" applyFont="1" applyFill="1"/>
    <xf numFmtId="0" fontId="0" fillId="0" borderId="0" xfId="0" applyNumberFormat="1" applyFont="1" applyFill="1"/>
    <xf numFmtId="0" fontId="1" fillId="0" borderId="0" xfId="0" applyFont="1"/>
    <xf numFmtId="164" fontId="1" fillId="0" borderId="0" xfId="1" applyNumberFormat="1" applyFont="1" applyFill="1"/>
    <xf numFmtId="164" fontId="1" fillId="0" borderId="0" xfId="1" applyNumberFormat="1" applyFont="1"/>
    <xf numFmtId="0" fontId="1" fillId="10" borderId="0" xfId="0" applyFont="1" applyFill="1"/>
    <xf numFmtId="164" fontId="5" fillId="0" borderId="0" xfId="1" applyNumberFormat="1" applyFont="1"/>
    <xf numFmtId="0" fontId="5" fillId="0" borderId="0" xfId="0" applyFont="1"/>
    <xf numFmtId="43" fontId="0" fillId="0" borderId="0" xfId="0" applyNumberFormat="1"/>
    <xf numFmtId="164" fontId="0" fillId="0" borderId="0" xfId="0" applyNumberFormat="1" applyFill="1"/>
    <xf numFmtId="0" fontId="0" fillId="0" borderId="0" xfId="0" quotePrefix="1" applyFill="1"/>
    <xf numFmtId="2" fontId="0" fillId="0" borderId="0" xfId="0" applyNumberFormat="1"/>
    <xf numFmtId="43" fontId="0" fillId="0" borderId="0" xfId="1" applyFont="1"/>
    <xf numFmtId="0" fontId="0" fillId="0" borderId="0" xfId="0" applyAlignment="1">
      <alignment horizontal="right"/>
    </xf>
    <xf numFmtId="2" fontId="0" fillId="0" borderId="0" xfId="0" applyNumberFormat="1" applyFill="1"/>
    <xf numFmtId="0" fontId="1" fillId="2" borderId="0" xfId="1" applyNumberFormat="1" applyFont="1" applyFill="1"/>
    <xf numFmtId="0" fontId="0" fillId="0" borderId="0" xfId="0" applyAlignment="1">
      <alignment horizontal="left" wrapText="1"/>
    </xf>
    <xf numFmtId="0" fontId="0" fillId="6" borderId="0" xfId="0" applyFill="1" applyAlignment="1">
      <alignment horizontal="center" wrapText="1"/>
    </xf>
    <xf numFmtId="0" fontId="0" fillId="0" borderId="0" xfId="0" applyFill="1" applyAlignment="1">
      <alignment horizontal="center" vertical="top" wrapText="1"/>
    </xf>
    <xf numFmtId="0" fontId="0" fillId="6" borderId="0" xfId="0" quotePrefix="1" applyFill="1" applyAlignment="1">
      <alignment horizontal="center" wrapText="1"/>
    </xf>
    <xf numFmtId="0" fontId="0" fillId="0" borderId="0" xfId="0" applyAlignment="1">
      <alignment horizontal="center" wrapText="1"/>
    </xf>
    <xf numFmtId="0" fontId="0" fillId="11" borderId="0" xfId="0" applyFill="1" applyAlignment="1">
      <alignment horizontal="center"/>
    </xf>
    <xf numFmtId="0" fontId="0" fillId="12" borderId="0" xfId="0" applyFill="1"/>
    <xf numFmtId="2" fontId="0" fillId="12" borderId="0" xfId="0" applyNumberFormat="1" applyFill="1"/>
    <xf numFmtId="0" fontId="0" fillId="0" borderId="0" xfId="0" applyAlignment="1">
      <alignment vertical="top" wrapText="1"/>
    </xf>
    <xf numFmtId="0" fontId="1" fillId="12" borderId="0" xfId="0" applyFont="1" applyFill="1"/>
    <xf numFmtId="0" fontId="0" fillId="12" borderId="0" xfId="0" applyFont="1" applyFill="1" applyAlignment="1">
      <alignment horizontal="left" wrapText="1"/>
    </xf>
    <xf numFmtId="0" fontId="1" fillId="13" borderId="0" xfId="0" applyFont="1" applyFill="1" applyAlignment="1">
      <alignment horizontal="left" wrapText="1"/>
    </xf>
    <xf numFmtId="0" fontId="0" fillId="13" borderId="0" xfId="0" applyFont="1" applyFill="1" applyAlignment="1">
      <alignment horizontal="left" wrapText="1"/>
    </xf>
    <xf numFmtId="0" fontId="0" fillId="13" borderId="0" xfId="0" applyFont="1" applyFill="1" applyAlignment="1">
      <alignment horizontal="right" wrapText="1"/>
    </xf>
    <xf numFmtId="0" fontId="0" fillId="13" borderId="0" xfId="0" applyFont="1" applyFill="1" applyAlignment="1">
      <alignment horizontal="left"/>
    </xf>
    <xf numFmtId="0" fontId="0" fillId="13" borderId="0" xfId="0" applyFont="1" applyFill="1" applyAlignment="1">
      <alignment horizontal="left" wrapText="1"/>
    </xf>
    <xf numFmtId="0" fontId="1" fillId="11" borderId="0" xfId="0" applyFont="1" applyFill="1"/>
    <xf numFmtId="0" fontId="0" fillId="11" borderId="0" xfId="0" applyFill="1"/>
    <xf numFmtId="0" fontId="0" fillId="11" borderId="0" xfId="0" applyFont="1" applyFill="1" applyAlignment="1">
      <alignment horizontal="left" wrapText="1"/>
    </xf>
    <xf numFmtId="0" fontId="0" fillId="11" borderId="0" xfId="0" applyFill="1" applyAlignment="1">
      <alignment horizontal="left" wrapText="1"/>
    </xf>
    <xf numFmtId="0" fontId="0" fillId="11" borderId="0" xfId="0" applyFill="1" applyAlignment="1">
      <alignment horizontal="left" vertical="top" wrapText="1"/>
    </xf>
    <xf numFmtId="0" fontId="1" fillId="14" borderId="0" xfId="0" applyFont="1" applyFill="1"/>
    <xf numFmtId="0" fontId="0" fillId="14" borderId="0" xfId="0" applyFill="1"/>
    <xf numFmtId="0" fontId="0" fillId="14" borderId="0" xfId="0" applyFill="1" applyAlignment="1">
      <alignment vertical="center"/>
    </xf>
    <xf numFmtId="0" fontId="0" fillId="14" borderId="0" xfId="0" applyFill="1" applyAlignment="1">
      <alignment horizontal="left" vertical="center" wrapText="1"/>
    </xf>
    <xf numFmtId="43" fontId="0" fillId="0" borderId="0" xfId="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Main components of RS Income, 1765-1920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'1765-1920 summary table'!$A$4</c:f>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1-BEDB-4396-81E8-A5BEE97370C1}"/>
              </c:ext>
            </c:extLst>
          </c:dPt>
          <c:cat>
            <c:numRef>
              <c:extLst>
                <c:ext xmlns:c15="http://schemas.microsoft.com/office/drawing/2012/chart" uri="{02D57815-91ED-43cb-92C2-25804820EDAC}">
                  <c15:fullRef>
                    <c15:sqref>'1765-1920 summary table'!$B$1:$N$1</c15:sqref>
                  </c15:fullRef>
                </c:ext>
              </c:extLst>
              <c:f>('1765-1920 summary table'!$B$1:$G$1,'1765-1920 summary table'!$J$1:$N$1)</c:f>
              <c:numCache>
                <c:formatCode>General</c:formatCode>
                <c:ptCount val="11"/>
                <c:pt idx="0">
                  <c:v>1765</c:v>
                </c:pt>
                <c:pt idx="1">
                  <c:v>1833</c:v>
                </c:pt>
                <c:pt idx="2">
                  <c:v>1834</c:v>
                </c:pt>
                <c:pt idx="3">
                  <c:v>1838</c:v>
                </c:pt>
                <c:pt idx="4">
                  <c:v>1840</c:v>
                </c:pt>
                <c:pt idx="5">
                  <c:v>1850</c:v>
                </c:pt>
                <c:pt idx="6">
                  <c:v>1880</c:v>
                </c:pt>
                <c:pt idx="7">
                  <c:v>1890</c:v>
                </c:pt>
                <c:pt idx="8">
                  <c:v>1900</c:v>
                </c:pt>
                <c:pt idx="9">
                  <c:v>1910</c:v>
                </c:pt>
                <c:pt idx="10">
                  <c:v>1920</c:v>
                </c:pt>
              </c:numCache>
            </c:numRef>
          </c:cat>
          <c:val>
            <c:numRef>
              <c:extLst>
                <c:ext xmlns:c15="http://schemas.microsoft.com/office/drawing/2012/chart" uri="{02D57815-91ED-43cb-92C2-25804820EDAC}">
                  <c15:fullRef>
                    <c15:sqref>'1765-1920 summary table'!$B$4:$N$4</c15:sqref>
                  </c15:fullRef>
                </c:ext>
              </c:extLst>
              <c:f>('1765-1920 summary table'!$B$4:$G$4,'1765-1920 summary table'!$J$4:$N$4)</c:f>
              <c:numCache>
                <c:formatCode>_-* #,##0_-;\-* #,##0_-;_-* "-"??_-;_-@_-</c:formatCode>
                <c:ptCount val="11"/>
                <c:pt idx="0">
                  <c:v>312401</c:v>
                </c:pt>
                <c:pt idx="1">
                  <c:v>185610</c:v>
                </c:pt>
                <c:pt idx="2">
                  <c:v>363582</c:v>
                </c:pt>
                <c:pt idx="3">
                  <c:v>350208</c:v>
                </c:pt>
                <c:pt idx="4">
                  <c:v>316128</c:v>
                </c:pt>
                <c:pt idx="5">
                  <c:v>383088</c:v>
                </c:pt>
                <c:pt idx="6">
                  <c:v>354000</c:v>
                </c:pt>
                <c:pt idx="7">
                  <c:v>366240</c:v>
                </c:pt>
                <c:pt idx="8">
                  <c:v>372000</c:v>
                </c:pt>
                <c:pt idx="9">
                  <c:v>414539</c:v>
                </c:pt>
                <c:pt idx="10">
                  <c:v>404054</c:v>
                </c:pt>
              </c:numCache>
            </c:numRef>
          </c:val>
          <c:extLst>
            <c:ext xmlns:c16="http://schemas.microsoft.com/office/drawing/2014/chart" uri="{C3380CC4-5D6E-409C-BE32-E72D297353CC}">
              <c16:uniqueId val="{00000002-BEDB-4396-81E8-A5BEE97370C1}"/>
            </c:ext>
          </c:extLst>
        </c:ser>
        <c:ser>
          <c:idx val="1"/>
          <c:order val="1"/>
          <c:tx>
            <c:strRef>
              <c:f>'1765-1920 summary table'!$A$5</c:f>
              <c:strCache>
                <c:ptCount val="1"/>
                <c:pt idx="0">
                  <c:v>Investments &amp; Rents</c:v>
                </c:pt>
              </c:strCache>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table'!$B$1:$G$1,'1765-1920 summary table'!$J$1:$N$1)</c:f>
              <c:numCache>
                <c:formatCode>General</c:formatCode>
                <c:ptCount val="11"/>
                <c:pt idx="0">
                  <c:v>1765</c:v>
                </c:pt>
                <c:pt idx="1">
                  <c:v>1833</c:v>
                </c:pt>
                <c:pt idx="2">
                  <c:v>1834</c:v>
                </c:pt>
                <c:pt idx="3">
                  <c:v>1838</c:v>
                </c:pt>
                <c:pt idx="4">
                  <c:v>1840</c:v>
                </c:pt>
                <c:pt idx="5">
                  <c:v>1850</c:v>
                </c:pt>
                <c:pt idx="6">
                  <c:v>1880</c:v>
                </c:pt>
                <c:pt idx="7">
                  <c:v>1890</c:v>
                </c:pt>
                <c:pt idx="8">
                  <c:v>1900</c:v>
                </c:pt>
                <c:pt idx="9">
                  <c:v>1910</c:v>
                </c:pt>
                <c:pt idx="10">
                  <c:v>1920</c:v>
                </c:pt>
              </c:numCache>
            </c:numRef>
          </c:cat>
          <c:val>
            <c:numRef>
              <c:extLst>
                <c:ext xmlns:c15="http://schemas.microsoft.com/office/drawing/2012/chart" uri="{02D57815-91ED-43cb-92C2-25804820EDAC}">
                  <c15:fullRef>
                    <c15:sqref>'1765-1920 summary table'!$B$5:$N$5</c15:sqref>
                  </c15:fullRef>
                </c:ext>
              </c:extLst>
              <c:f>('1765-1920 summary table'!$B$5:$G$5,'1765-1920 summary table'!$J$5:$N$5)</c:f>
              <c:numCache>
                <c:formatCode>_-* #,##0_-;\-* #,##0_-;_-* "-"??_-;_-@_-</c:formatCode>
                <c:ptCount val="11"/>
                <c:pt idx="0">
                  <c:v>0</c:v>
                </c:pt>
                <c:pt idx="1">
                  <c:v>232238</c:v>
                </c:pt>
                <c:pt idx="2">
                  <c:v>214238</c:v>
                </c:pt>
                <c:pt idx="3">
                  <c:v>205301</c:v>
                </c:pt>
                <c:pt idx="4">
                  <c:v>221029</c:v>
                </c:pt>
                <c:pt idx="5">
                  <c:v>432631</c:v>
                </c:pt>
                <c:pt idx="6">
                  <c:v>464251</c:v>
                </c:pt>
                <c:pt idx="7">
                  <c:v>794435</c:v>
                </c:pt>
                <c:pt idx="8">
                  <c:v>801548</c:v>
                </c:pt>
                <c:pt idx="9">
                  <c:v>851756</c:v>
                </c:pt>
                <c:pt idx="10">
                  <c:v>1221299</c:v>
                </c:pt>
              </c:numCache>
            </c:numRef>
          </c:val>
          <c:extLst>
            <c:ext xmlns:c16="http://schemas.microsoft.com/office/drawing/2014/chart" uri="{C3380CC4-5D6E-409C-BE32-E72D297353CC}">
              <c16:uniqueId val="{00000003-BEDB-4396-81E8-A5BEE97370C1}"/>
            </c:ext>
          </c:extLst>
        </c:ser>
        <c:ser>
          <c:idx val="2"/>
          <c:order val="2"/>
          <c:tx>
            <c:strRef>
              <c:f>'1765-1920 summary table'!$A$28</c:f>
              <c:strCache>
                <c:ptCount val="1"/>
                <c:pt idx="0">
                  <c:v>Publication Sales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table'!$B$1:$G$1,'1765-1920 summary table'!$J$1:$N$1)</c:f>
              <c:numCache>
                <c:formatCode>General</c:formatCode>
                <c:ptCount val="11"/>
                <c:pt idx="0">
                  <c:v>1765</c:v>
                </c:pt>
                <c:pt idx="1">
                  <c:v>1833</c:v>
                </c:pt>
                <c:pt idx="2">
                  <c:v>1834</c:v>
                </c:pt>
                <c:pt idx="3">
                  <c:v>1838</c:v>
                </c:pt>
                <c:pt idx="4">
                  <c:v>1840</c:v>
                </c:pt>
                <c:pt idx="5">
                  <c:v>1850</c:v>
                </c:pt>
                <c:pt idx="6">
                  <c:v>1880</c:v>
                </c:pt>
                <c:pt idx="7">
                  <c:v>1890</c:v>
                </c:pt>
                <c:pt idx="8">
                  <c:v>1900</c:v>
                </c:pt>
                <c:pt idx="9">
                  <c:v>1910</c:v>
                </c:pt>
                <c:pt idx="10">
                  <c:v>1920</c:v>
                </c:pt>
              </c:numCache>
            </c:numRef>
          </c:cat>
          <c:val>
            <c:numRef>
              <c:extLst>
                <c:ext xmlns:c15="http://schemas.microsoft.com/office/drawing/2012/chart" uri="{02D57815-91ED-43cb-92C2-25804820EDAC}">
                  <c15:fullRef>
                    <c15:sqref>'1765-1920 summary table'!$B$28:$N$28</c15:sqref>
                  </c15:fullRef>
                </c:ext>
              </c:extLst>
              <c:f>('1765-1920 summary table'!$B$28:$G$28,'1765-1920 summary table'!$J$28:$N$28)</c:f>
              <c:numCache>
                <c:formatCode>_-* #,##0_-;\-* #,##0_-;_-* "-"??_-;_-@_-</c:formatCode>
                <c:ptCount val="11"/>
                <c:pt idx="0">
                  <c:v>18960</c:v>
                </c:pt>
                <c:pt idx="1">
                  <c:v>122130</c:v>
                </c:pt>
                <c:pt idx="2">
                  <c:v>144612</c:v>
                </c:pt>
                <c:pt idx="3">
                  <c:v>68910</c:v>
                </c:pt>
                <c:pt idx="4">
                  <c:v>69108</c:v>
                </c:pt>
                <c:pt idx="5">
                  <c:v>71631</c:v>
                </c:pt>
                <c:pt idx="6">
                  <c:v>189498</c:v>
                </c:pt>
                <c:pt idx="7">
                  <c:v>158202</c:v>
                </c:pt>
                <c:pt idx="8">
                  <c:v>169992</c:v>
                </c:pt>
                <c:pt idx="9">
                  <c:v>236976</c:v>
                </c:pt>
                <c:pt idx="10">
                  <c:v>324264</c:v>
                </c:pt>
              </c:numCache>
            </c:numRef>
          </c:val>
          <c:extLst>
            <c:ext xmlns:c16="http://schemas.microsoft.com/office/drawing/2014/chart" uri="{C3380CC4-5D6E-409C-BE32-E72D297353CC}">
              <c16:uniqueId val="{00000004-BEDB-4396-81E8-A5BEE97370C1}"/>
            </c:ext>
          </c:extLst>
        </c:ser>
        <c:dLbls>
          <c:showLegendKey val="0"/>
          <c:showVal val="0"/>
          <c:showCatName val="0"/>
          <c:showSerName val="0"/>
          <c:showPercent val="0"/>
          <c:showBubbleSize val="0"/>
        </c:dLbls>
        <c:gapWidth val="219"/>
        <c:overlap val="-27"/>
        <c:axId val="290970960"/>
        <c:axId val="290972080"/>
      </c:barChart>
      <c:catAx>
        <c:axId val="29097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972080"/>
        <c:crosses val="autoZero"/>
        <c:auto val="1"/>
        <c:lblAlgn val="ctr"/>
        <c:lblOffset val="100"/>
        <c:noMultiLvlLbl val="0"/>
      </c:catAx>
      <c:valAx>
        <c:axId val="29097208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97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Trends in main Royal</a:t>
            </a:r>
            <a:r>
              <a:rPr lang="en-GB" baseline="0"/>
              <a:t> </a:t>
            </a:r>
            <a:r>
              <a:rPr lang="en-GB"/>
              <a:t>Society income streams,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'1765-1920 summary table'!$A$4</c:f>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1-BDB9-44D0-A98E-3503EC75959E}"/>
              </c:ext>
            </c:extLst>
          </c:dPt>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table'!$B$4:$N$4</c15:sqref>
                  </c15:fullRef>
                </c:ext>
              </c:extLst>
              <c:f>('1765-1920 summary table'!$B$4:$C$4,'1765-1920 summary table'!$F$4:$L$4)</c:f>
              <c:numCache>
                <c:formatCode>_-* #,##0_-;\-* #,##0_-;_-* "-"??_-;_-@_-</c:formatCode>
                <c:ptCount val="9"/>
                <c:pt idx="0">
                  <c:v>312401</c:v>
                </c:pt>
                <c:pt idx="1">
                  <c:v>185610</c:v>
                </c:pt>
                <c:pt idx="2">
                  <c:v>316128</c:v>
                </c:pt>
                <c:pt idx="3">
                  <c:v>383088</c:v>
                </c:pt>
                <c:pt idx="4">
                  <c:v>392208</c:v>
                </c:pt>
                <c:pt idx="5">
                  <c:v>363888</c:v>
                </c:pt>
                <c:pt idx="6">
                  <c:v>354000</c:v>
                </c:pt>
                <c:pt idx="7">
                  <c:v>366240</c:v>
                </c:pt>
                <c:pt idx="8">
                  <c:v>372000</c:v>
                </c:pt>
              </c:numCache>
            </c:numRef>
          </c:val>
          <c:extLst>
            <c:ext xmlns:c16="http://schemas.microsoft.com/office/drawing/2014/chart" uri="{C3380CC4-5D6E-409C-BE32-E72D297353CC}">
              <c16:uniqueId val="{00000002-BDB9-44D0-A98E-3503EC75959E}"/>
            </c:ext>
          </c:extLst>
        </c:ser>
        <c:ser>
          <c:idx val="1"/>
          <c:order val="1"/>
          <c:tx>
            <c:strRef>
              <c:f>'1765-1920 summary table'!$A$5</c:f>
              <c:strCache>
                <c:ptCount val="1"/>
                <c:pt idx="0">
                  <c:v>Investments &amp; Rents</c:v>
                </c:pt>
              </c:strCache>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table'!$B$5:$N$5</c15:sqref>
                  </c15:fullRef>
                </c:ext>
              </c:extLst>
              <c:f>('1765-1920 summary table'!$B$5:$C$5,'1765-1920 summary table'!$F$5:$L$5)</c:f>
              <c:numCache>
                <c:formatCode>_-* #,##0_-;\-* #,##0_-;_-* "-"??_-;_-@_-</c:formatCode>
                <c:ptCount val="9"/>
                <c:pt idx="0">
                  <c:v>0</c:v>
                </c:pt>
                <c:pt idx="1">
                  <c:v>232238</c:v>
                </c:pt>
                <c:pt idx="2">
                  <c:v>221029</c:v>
                </c:pt>
                <c:pt idx="3">
                  <c:v>432631</c:v>
                </c:pt>
                <c:pt idx="4">
                  <c:v>339305</c:v>
                </c:pt>
                <c:pt idx="5">
                  <c:v>415600</c:v>
                </c:pt>
                <c:pt idx="6">
                  <c:v>464251</c:v>
                </c:pt>
                <c:pt idx="7">
                  <c:v>794435</c:v>
                </c:pt>
                <c:pt idx="8">
                  <c:v>801548</c:v>
                </c:pt>
              </c:numCache>
            </c:numRef>
          </c:val>
          <c:extLst>
            <c:ext xmlns:c16="http://schemas.microsoft.com/office/drawing/2014/chart" uri="{C3380CC4-5D6E-409C-BE32-E72D297353CC}">
              <c16:uniqueId val="{00000003-BDB9-44D0-A98E-3503EC75959E}"/>
            </c:ext>
          </c:extLst>
        </c:ser>
        <c:ser>
          <c:idx val="2"/>
          <c:order val="2"/>
          <c:tx>
            <c:strRef>
              <c:f>'1765-1920 summary table'!$A$28</c:f>
              <c:strCache>
                <c:ptCount val="1"/>
                <c:pt idx="0">
                  <c:v>Publication Sales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table'!$B$28:$N$28</c15:sqref>
                  </c15:fullRef>
                </c:ext>
              </c:extLst>
              <c:f>('1765-1920 summary table'!$B$28:$C$28,'1765-1920 summary table'!$F$28:$L$28)</c:f>
              <c:numCache>
                <c:formatCode>_-* #,##0_-;\-* #,##0_-;_-* "-"??_-;_-@_-</c:formatCode>
                <c:ptCount val="9"/>
                <c:pt idx="0">
                  <c:v>18960</c:v>
                </c:pt>
                <c:pt idx="1">
                  <c:v>122130</c:v>
                </c:pt>
                <c:pt idx="2">
                  <c:v>69108</c:v>
                </c:pt>
                <c:pt idx="3">
                  <c:v>71631</c:v>
                </c:pt>
                <c:pt idx="4">
                  <c:v>91296</c:v>
                </c:pt>
                <c:pt idx="5">
                  <c:v>149508</c:v>
                </c:pt>
                <c:pt idx="6">
                  <c:v>189498</c:v>
                </c:pt>
                <c:pt idx="7">
                  <c:v>158202</c:v>
                </c:pt>
                <c:pt idx="8">
                  <c:v>169992</c:v>
                </c:pt>
              </c:numCache>
            </c:numRef>
          </c:val>
          <c:extLst>
            <c:ext xmlns:c16="http://schemas.microsoft.com/office/drawing/2014/chart" uri="{C3380CC4-5D6E-409C-BE32-E72D297353CC}">
              <c16:uniqueId val="{00000004-BDB9-44D0-A98E-3503EC75959E}"/>
            </c:ext>
          </c:extLst>
        </c:ser>
        <c:dLbls>
          <c:showLegendKey val="0"/>
          <c:showVal val="0"/>
          <c:showCatName val="0"/>
          <c:showSerName val="0"/>
          <c:showPercent val="0"/>
          <c:showBubbleSize val="0"/>
        </c:dLbls>
        <c:gapWidth val="219"/>
        <c:overlap val="100"/>
        <c:axId val="290736048"/>
        <c:axId val="290736608"/>
      </c:barChart>
      <c:catAx>
        <c:axId val="29073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736608"/>
        <c:crosses val="autoZero"/>
        <c:auto val="1"/>
        <c:lblAlgn val="ctr"/>
        <c:lblOffset val="100"/>
        <c:noMultiLvlLbl val="0"/>
      </c:catAx>
      <c:valAx>
        <c:axId val="29073660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73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Trends in major categories of Royal Society expenditure,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'1765-1920 summary table'!$A$14</c:f>
              <c:strCache>
                <c:ptCount val="1"/>
                <c:pt idx="0">
                  <c:v>Establishment Expenses</c:v>
                </c:pt>
              </c:strCache>
            </c:strRef>
          </c:tx>
          <c:spPr>
            <a:solidFill>
              <a:schemeClr val="accent1"/>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table'!$B$14:$N$14</c15:sqref>
                  </c15:fullRef>
                </c:ext>
              </c:extLst>
              <c:f>('1765-1920 summary table'!$B$14:$C$14,'1765-1920 summary table'!$F$14:$L$14)</c:f>
              <c:numCache>
                <c:formatCode>_-* #,##0_-;\-* #,##0_-;_-* "-"??_-;_-@_-</c:formatCode>
                <c:ptCount val="9"/>
                <c:pt idx="0">
                  <c:v>188131</c:v>
                </c:pt>
                <c:pt idx="1">
                  <c:v>175237.5</c:v>
                </c:pt>
                <c:pt idx="2">
                  <c:v>143107</c:v>
                </c:pt>
                <c:pt idx="3">
                  <c:v>143133</c:v>
                </c:pt>
                <c:pt idx="4">
                  <c:v>121995</c:v>
                </c:pt>
                <c:pt idx="5">
                  <c:v>77204</c:v>
                </c:pt>
                <c:pt idx="6">
                  <c:v>148023</c:v>
                </c:pt>
                <c:pt idx="7">
                  <c:v>209996</c:v>
                </c:pt>
                <c:pt idx="8">
                  <c:v>288289</c:v>
                </c:pt>
              </c:numCache>
            </c:numRef>
          </c:val>
          <c:extLst>
            <c:ext xmlns:c16="http://schemas.microsoft.com/office/drawing/2014/chart" uri="{C3380CC4-5D6E-409C-BE32-E72D297353CC}">
              <c16:uniqueId val="{00000000-29E4-48E2-B7C1-9EDD1891E53E}"/>
            </c:ext>
          </c:extLst>
        </c:ser>
        <c:ser>
          <c:idx val="1"/>
          <c:order val="1"/>
          <c:tx>
            <c:strRef>
              <c:f>'1765-1920 summary table'!$A$15</c:f>
              <c:strCache>
                <c:ptCount val="1"/>
                <c:pt idx="0">
                  <c:v>Salaries, stipends and pensions</c:v>
                </c:pt>
              </c:strCache>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table'!$B$15:$N$15</c15:sqref>
                  </c15:fullRef>
                </c:ext>
              </c:extLst>
              <c:f>('1765-1920 summary table'!$B$15:$C$15,'1765-1920 summary table'!$F$15:$L$15)</c:f>
              <c:numCache>
                <c:formatCode>_-* #,##0_-;\-* #,##0_-;_-* "-"??_-;_-@_-</c:formatCode>
                <c:ptCount val="9"/>
                <c:pt idx="0">
                  <c:v>55680</c:v>
                </c:pt>
                <c:pt idx="1">
                  <c:v>170124</c:v>
                </c:pt>
                <c:pt idx="2">
                  <c:v>126060</c:v>
                </c:pt>
                <c:pt idx="3">
                  <c:v>162060</c:v>
                </c:pt>
                <c:pt idx="4">
                  <c:v>247920</c:v>
                </c:pt>
                <c:pt idx="5">
                  <c:v>252952</c:v>
                </c:pt>
                <c:pt idx="6">
                  <c:v>261501</c:v>
                </c:pt>
                <c:pt idx="7">
                  <c:v>421344</c:v>
                </c:pt>
                <c:pt idx="8">
                  <c:v>464901</c:v>
                </c:pt>
              </c:numCache>
            </c:numRef>
          </c:val>
          <c:extLst>
            <c:ext xmlns:c16="http://schemas.microsoft.com/office/drawing/2014/chart" uri="{C3380CC4-5D6E-409C-BE32-E72D297353CC}">
              <c16:uniqueId val="{00000001-29E4-48E2-B7C1-9EDD1891E53E}"/>
            </c:ext>
          </c:extLst>
        </c:ser>
        <c:ser>
          <c:idx val="2"/>
          <c:order val="2"/>
          <c:tx>
            <c:strRef>
              <c:f>'1765-1920 summary table'!$A$37</c:f>
              <c:strCache>
                <c:ptCount val="1"/>
                <c:pt idx="0">
                  <c:v>Publication Costs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table'!$B$37:$N$37</c15:sqref>
                  </c15:fullRef>
                </c:ext>
              </c:extLst>
              <c:f>('1765-1920 summary table'!$B$37:$C$37,'1765-1920 summary table'!$F$37:$L$37)</c:f>
              <c:numCache>
                <c:formatCode>_-* #,##0_-;\-* #,##0_-;_-* "-"??_-;_-@_-</c:formatCode>
                <c:ptCount val="9"/>
                <c:pt idx="0">
                  <c:v>49796</c:v>
                </c:pt>
                <c:pt idx="1">
                  <c:v>508319</c:v>
                </c:pt>
                <c:pt idx="2">
                  <c:v>248676</c:v>
                </c:pt>
                <c:pt idx="3">
                  <c:v>288123</c:v>
                </c:pt>
                <c:pt idx="4">
                  <c:v>410136</c:v>
                </c:pt>
                <c:pt idx="5">
                  <c:v>488814</c:v>
                </c:pt>
                <c:pt idx="6">
                  <c:v>509215</c:v>
                </c:pt>
                <c:pt idx="7">
                  <c:v>527234</c:v>
                </c:pt>
                <c:pt idx="8">
                  <c:v>483972</c:v>
                </c:pt>
              </c:numCache>
            </c:numRef>
          </c:val>
          <c:extLst>
            <c:ext xmlns:c16="http://schemas.microsoft.com/office/drawing/2014/chart" uri="{C3380CC4-5D6E-409C-BE32-E72D297353CC}">
              <c16:uniqueId val="{00000002-29E4-48E2-B7C1-9EDD1891E53E}"/>
            </c:ext>
          </c:extLst>
        </c:ser>
        <c:dLbls>
          <c:showLegendKey val="0"/>
          <c:showVal val="0"/>
          <c:showCatName val="0"/>
          <c:showSerName val="0"/>
          <c:showPercent val="0"/>
          <c:showBubbleSize val="0"/>
        </c:dLbls>
        <c:gapWidth val="219"/>
        <c:overlap val="100"/>
        <c:axId val="184140672"/>
        <c:axId val="184141232"/>
      </c:barChart>
      <c:catAx>
        <c:axId val="18414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141232"/>
        <c:crosses val="autoZero"/>
        <c:auto val="1"/>
        <c:lblAlgn val="ctr"/>
        <c:lblOffset val="100"/>
        <c:noMultiLvlLbl val="0"/>
      </c:catAx>
      <c:valAx>
        <c:axId val="18414123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140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Establishment Expenses,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'1765-1920 summary table'!$A$14</c:f>
              <c:strCache>
                <c:ptCount val="1"/>
                <c:pt idx="0">
                  <c:v>Establishment Expenses</c:v>
                </c:pt>
              </c:strCache>
            </c:strRef>
          </c:tx>
          <c:spPr>
            <a:solidFill>
              <a:schemeClr val="accent1"/>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table'!$B$14:$N$14</c15:sqref>
                  </c15:fullRef>
                </c:ext>
              </c:extLst>
              <c:f>('1765-1920 summary table'!$B$14:$C$14,'1765-1920 summary table'!$F$14:$L$14)</c:f>
              <c:numCache>
                <c:formatCode>_-* #,##0_-;\-* #,##0_-;_-* "-"??_-;_-@_-</c:formatCode>
                <c:ptCount val="9"/>
                <c:pt idx="0">
                  <c:v>188131</c:v>
                </c:pt>
                <c:pt idx="1">
                  <c:v>175237.5</c:v>
                </c:pt>
                <c:pt idx="2">
                  <c:v>143107</c:v>
                </c:pt>
                <c:pt idx="3">
                  <c:v>143133</c:v>
                </c:pt>
                <c:pt idx="4">
                  <c:v>121995</c:v>
                </c:pt>
                <c:pt idx="5">
                  <c:v>77204</c:v>
                </c:pt>
                <c:pt idx="6">
                  <c:v>148023</c:v>
                </c:pt>
                <c:pt idx="7">
                  <c:v>209996</c:v>
                </c:pt>
                <c:pt idx="8">
                  <c:v>288289</c:v>
                </c:pt>
              </c:numCache>
            </c:numRef>
          </c:val>
          <c:extLst>
            <c:ext xmlns:c16="http://schemas.microsoft.com/office/drawing/2014/chart" uri="{C3380CC4-5D6E-409C-BE32-E72D297353CC}">
              <c16:uniqueId val="{00000000-5AF3-44E6-B666-A915817A48BE}"/>
            </c:ext>
          </c:extLst>
        </c:ser>
        <c:dLbls>
          <c:showLegendKey val="0"/>
          <c:showVal val="0"/>
          <c:showCatName val="0"/>
          <c:showSerName val="0"/>
          <c:showPercent val="0"/>
          <c:showBubbleSize val="0"/>
        </c:dLbls>
        <c:gapWidth val="219"/>
        <c:overlap val="-27"/>
        <c:axId val="184149424"/>
        <c:axId val="184149984"/>
        <c:extLst>
          <c:ext xmlns:c15="http://schemas.microsoft.com/office/drawing/2012/chart" uri="{02D57815-91ED-43cb-92C2-25804820EDAC}">
            <c15:filteredBarSeries>
              <c15:ser>
                <c:idx val="1"/>
                <c:order val="1"/>
                <c:tx>
                  <c:strRef>
                    <c:extLst>
                      <c:ext uri="{02D57815-91ED-43cb-92C2-25804820EDAC}">
                        <c15:formulaRef>
                          <c15:sqref>'1765-1920 summary table'!$A$15</c15:sqref>
                        </c15:formulaRef>
                      </c:ext>
                    </c:extLst>
                    <c:strCache>
                      <c:ptCount val="1"/>
                      <c:pt idx="0">
                        <c:v>Salaries, stipends and pensions</c:v>
                      </c:pt>
                    </c:strCache>
                  </c:strRef>
                </c:tx>
                <c:spPr>
                  <a:solidFill>
                    <a:schemeClr val="accent2"/>
                  </a:solidFill>
                  <a:ln>
                    <a:noFill/>
                  </a:ln>
                  <a:effectLst/>
                </c:spPr>
                <c:invertIfNegative val="0"/>
                <c:cat>
                  <c:numRef>
                    <c:extLst>
                      <c:ex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uri="{02D57815-91ED-43cb-92C2-25804820EDAC}">
                        <c15:fullRef>
                          <c15:sqref>'1765-1920 summary table'!$B$15:$N$15</c15:sqref>
                        </c15:fullRef>
                        <c15:formulaRef>
                          <c15:sqref>('1765-1920 summary table'!$B$15:$C$15,'1765-1920 summary table'!$F$15:$L$15)</c15:sqref>
                        </c15:formulaRef>
                      </c:ext>
                    </c:extLst>
                    <c:numCache>
                      <c:formatCode>_-* #,##0_-;\-* #,##0_-;_-* "-"??_-;_-@_-</c:formatCode>
                      <c:ptCount val="9"/>
                      <c:pt idx="0">
                        <c:v>55680</c:v>
                      </c:pt>
                      <c:pt idx="1">
                        <c:v>170124</c:v>
                      </c:pt>
                      <c:pt idx="2">
                        <c:v>126060</c:v>
                      </c:pt>
                      <c:pt idx="3">
                        <c:v>162060</c:v>
                      </c:pt>
                      <c:pt idx="4">
                        <c:v>247920</c:v>
                      </c:pt>
                      <c:pt idx="5">
                        <c:v>252952</c:v>
                      </c:pt>
                      <c:pt idx="6">
                        <c:v>261501</c:v>
                      </c:pt>
                      <c:pt idx="7">
                        <c:v>421344</c:v>
                      </c:pt>
                      <c:pt idx="8">
                        <c:v>464901</c:v>
                      </c:pt>
                    </c:numCache>
                  </c:numRef>
                </c:val>
                <c:extLst>
                  <c:ext xmlns:c16="http://schemas.microsoft.com/office/drawing/2014/chart" uri="{C3380CC4-5D6E-409C-BE32-E72D297353CC}">
                    <c16:uniqueId val="{00000001-5AF3-44E6-B666-A915817A48B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'1765-1920 summary table'!$A$37</c15:sqref>
                        </c15:formulaRef>
                      </c:ext>
                    </c:extLst>
                    <c:strCache>
                      <c:ptCount val="1"/>
                      <c:pt idx="0">
                        <c:v>Publication Costs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table'!$B$37:$N$37</c15:sqref>
                        </c15:fullRef>
                        <c15:formulaRef>
                          <c15:sqref>('1765-1920 summary table'!$B$37:$C$37,'1765-1920 summary table'!$F$37:$L$37)</c15:sqref>
                        </c15:formulaRef>
                      </c:ext>
                    </c:extLst>
                    <c:numCache>
                      <c:formatCode>_-* #,##0_-;\-* #,##0_-;_-* "-"??_-;_-@_-</c:formatCode>
                      <c:ptCount val="9"/>
                      <c:pt idx="0">
                        <c:v>49796</c:v>
                      </c:pt>
                      <c:pt idx="1">
                        <c:v>508319</c:v>
                      </c:pt>
                      <c:pt idx="2">
                        <c:v>248676</c:v>
                      </c:pt>
                      <c:pt idx="3">
                        <c:v>288123</c:v>
                      </c:pt>
                      <c:pt idx="4">
                        <c:v>410136</c:v>
                      </c:pt>
                      <c:pt idx="5">
                        <c:v>488814</c:v>
                      </c:pt>
                      <c:pt idx="6">
                        <c:v>509215</c:v>
                      </c:pt>
                      <c:pt idx="7">
                        <c:v>527234</c:v>
                      </c:pt>
                      <c:pt idx="8">
                        <c:v>483972</c:v>
                      </c:pt>
                    </c:numCache>
                  </c:numRef>
                </c:val>
                <c:extLst>
                  <c:ext xmlns:c16="http://schemas.microsoft.com/office/drawing/2014/chart" uri="{C3380CC4-5D6E-409C-BE32-E72D297353CC}">
                    <c16:uniqueId val="{00000002-5AF3-44E6-B666-A915817A48BE}"/>
                  </c:ext>
                </c:extLst>
              </c15:ser>
            </c15:filteredBarSeries>
          </c:ext>
        </c:extLst>
      </c:barChart>
      <c:catAx>
        <c:axId val="18414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149984"/>
        <c:crosses val="autoZero"/>
        <c:auto val="1"/>
        <c:lblAlgn val="ctr"/>
        <c:lblOffset val="100"/>
        <c:noMultiLvlLbl val="0"/>
      </c:catAx>
      <c:valAx>
        <c:axId val="18414998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14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Staff costs,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'1765-1920 summary table'!$A$15</c:f>
              <c:strCache>
                <c:ptCount val="1"/>
                <c:pt idx="0">
                  <c:v>Salaries, stipends and pensions</c:v>
                </c:pt>
              </c:strCache>
              <c:extLst xmlns:c15="http://schemas.microsoft.com/office/drawing/2012/chart"/>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table'!$B$15:$N$15</c15:sqref>
                  </c15:fullRef>
                </c:ext>
              </c:extLst>
              <c:f>('1765-1920 summary table'!$B$15:$C$15,'1765-1920 summary table'!$F$15:$L$15)</c:f>
              <c:numCache>
                <c:formatCode>_-* #,##0_-;\-* #,##0_-;_-* "-"??_-;_-@_-</c:formatCode>
                <c:ptCount val="9"/>
                <c:pt idx="0">
                  <c:v>55680</c:v>
                </c:pt>
                <c:pt idx="1">
                  <c:v>170124</c:v>
                </c:pt>
                <c:pt idx="2">
                  <c:v>126060</c:v>
                </c:pt>
                <c:pt idx="3">
                  <c:v>162060</c:v>
                </c:pt>
                <c:pt idx="4">
                  <c:v>247920</c:v>
                </c:pt>
                <c:pt idx="5">
                  <c:v>252952</c:v>
                </c:pt>
                <c:pt idx="6">
                  <c:v>261501</c:v>
                </c:pt>
                <c:pt idx="7">
                  <c:v>421344</c:v>
                </c:pt>
                <c:pt idx="8">
                  <c:v>464901</c:v>
                </c:pt>
              </c:numCache>
            </c:numRef>
          </c:val>
          <c:extLst>
            <c:ext xmlns:c16="http://schemas.microsoft.com/office/drawing/2014/chart" uri="{C3380CC4-5D6E-409C-BE32-E72D297353CC}">
              <c16:uniqueId val="{00000000-AB7B-4B2B-A999-20BF3491384F}"/>
            </c:ext>
          </c:extLst>
        </c:ser>
        <c:dLbls>
          <c:showLegendKey val="0"/>
          <c:showVal val="0"/>
          <c:showCatName val="0"/>
          <c:showSerName val="0"/>
          <c:showPercent val="0"/>
          <c:showBubbleSize val="0"/>
        </c:dLbls>
        <c:gapWidth val="219"/>
        <c:overlap val="-27"/>
        <c:axId val="182967472"/>
        <c:axId val="184142528"/>
        <c:extLst>
          <c:ext xmlns:c15="http://schemas.microsoft.com/office/drawing/2012/chart" uri="{02D57815-91ED-43cb-92C2-25804820EDAC}">
            <c15:filteredBarSeries>
              <c15:ser>
                <c:idx val="0"/>
                <c:order val="0"/>
                <c:tx>
                  <c:strRef>
                    <c:extLst>
                      <c:ext uri="{02D57815-91ED-43cb-92C2-25804820EDAC}">
                        <c15:formulaRef>
                          <c15:sqref>'1765-1920 summary table'!$A$14</c15:sqref>
                        </c15:formulaRef>
                      </c:ext>
                    </c:extLst>
                    <c:strCache>
                      <c:ptCount val="1"/>
                      <c:pt idx="0">
                        <c:v>Establishment Expenses</c:v>
                      </c:pt>
                    </c:strCache>
                  </c:strRef>
                </c:tx>
                <c:spPr>
                  <a:solidFill>
                    <a:schemeClr val="accent1"/>
                  </a:solidFill>
                  <a:ln>
                    <a:noFill/>
                  </a:ln>
                  <a:effectLst/>
                </c:spPr>
                <c:invertIfNegative val="0"/>
                <c:cat>
                  <c:numRef>
                    <c:extLst>
                      <c:ex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uri="{02D57815-91ED-43cb-92C2-25804820EDAC}">
                        <c15:fullRef>
                          <c15:sqref>'1765-1920 summary table'!$B$14:$N$14</c15:sqref>
                        </c15:fullRef>
                        <c15:formulaRef>
                          <c15:sqref>('1765-1920 summary table'!$B$14:$C$14,'1765-1920 summary table'!$F$14:$L$14)</c15:sqref>
                        </c15:formulaRef>
                      </c:ext>
                    </c:extLst>
                    <c:numCache>
                      <c:formatCode>_-* #,##0_-;\-* #,##0_-;_-* "-"??_-;_-@_-</c:formatCode>
                      <c:ptCount val="9"/>
                      <c:pt idx="0">
                        <c:v>188131</c:v>
                      </c:pt>
                      <c:pt idx="1">
                        <c:v>175237.5</c:v>
                      </c:pt>
                      <c:pt idx="2">
                        <c:v>143107</c:v>
                      </c:pt>
                      <c:pt idx="3">
                        <c:v>143133</c:v>
                      </c:pt>
                      <c:pt idx="4">
                        <c:v>121995</c:v>
                      </c:pt>
                      <c:pt idx="5">
                        <c:v>77204</c:v>
                      </c:pt>
                      <c:pt idx="6">
                        <c:v>148023</c:v>
                      </c:pt>
                      <c:pt idx="7">
                        <c:v>209996</c:v>
                      </c:pt>
                      <c:pt idx="8">
                        <c:v>288289</c:v>
                      </c:pt>
                    </c:numCache>
                  </c:numRef>
                </c:val>
                <c:extLst>
                  <c:ext xmlns:c16="http://schemas.microsoft.com/office/drawing/2014/chart" uri="{C3380CC4-5D6E-409C-BE32-E72D297353CC}">
                    <c16:uniqueId val="{00000001-AB7B-4B2B-A999-20BF3491384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'1765-1920 summary table'!$A$37</c15:sqref>
                        </c15:formulaRef>
                      </c:ext>
                    </c:extLst>
                    <c:strCache>
                      <c:ptCount val="1"/>
                      <c:pt idx="0">
                        <c:v>Publication Costs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table'!$B$37:$N$37</c15:sqref>
                        </c15:fullRef>
                        <c15:formulaRef>
                          <c15:sqref>('1765-1920 summary table'!$B$37:$C$37,'1765-1920 summary table'!$F$37:$L$37)</c15:sqref>
                        </c15:formulaRef>
                      </c:ext>
                    </c:extLst>
                    <c:numCache>
                      <c:formatCode>_-* #,##0_-;\-* #,##0_-;_-* "-"??_-;_-@_-</c:formatCode>
                      <c:ptCount val="9"/>
                      <c:pt idx="0">
                        <c:v>49796</c:v>
                      </c:pt>
                      <c:pt idx="1">
                        <c:v>508319</c:v>
                      </c:pt>
                      <c:pt idx="2">
                        <c:v>248676</c:v>
                      </c:pt>
                      <c:pt idx="3">
                        <c:v>288123</c:v>
                      </c:pt>
                      <c:pt idx="4">
                        <c:v>410136</c:v>
                      </c:pt>
                      <c:pt idx="5">
                        <c:v>488814</c:v>
                      </c:pt>
                      <c:pt idx="6">
                        <c:v>509215</c:v>
                      </c:pt>
                      <c:pt idx="7">
                        <c:v>527234</c:v>
                      </c:pt>
                      <c:pt idx="8">
                        <c:v>483972</c:v>
                      </c:pt>
                    </c:numCache>
                  </c:numRef>
                </c:val>
                <c:extLst>
                  <c:ext xmlns:c16="http://schemas.microsoft.com/office/drawing/2014/chart" uri="{C3380CC4-5D6E-409C-BE32-E72D297353CC}">
                    <c16:uniqueId val="{00000002-AB7B-4B2B-A999-20BF3491384F}"/>
                  </c:ext>
                </c:extLst>
              </c15:ser>
            </c15:filteredBarSeries>
          </c:ext>
        </c:extLst>
      </c:barChart>
      <c:catAx>
        <c:axId val="18296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142528"/>
        <c:crosses val="autoZero"/>
        <c:auto val="1"/>
        <c:lblAlgn val="ctr"/>
        <c:lblOffset val="100"/>
        <c:noMultiLvlLbl val="0"/>
      </c:catAx>
      <c:valAx>
        <c:axId val="18414252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967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Publication costs,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'1765-1920 summary table'!$A$37</c:f>
              <c:strCache>
                <c:ptCount val="1"/>
                <c:pt idx="0">
                  <c:v>Publication Costs</c:v>
                </c:pt>
              </c:strCache>
              <c:extLst xmlns:c15="http://schemas.microsoft.com/office/drawing/2012/chart"/>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table'!$B$37:$N$37</c15:sqref>
                  </c15:fullRef>
                </c:ext>
              </c:extLst>
              <c:f>('1765-1920 summary table'!$B$37:$C$37,'1765-1920 summary table'!$F$37:$L$37)</c:f>
              <c:numCache>
                <c:formatCode>_-* #,##0_-;\-* #,##0_-;_-* "-"??_-;_-@_-</c:formatCode>
                <c:ptCount val="9"/>
                <c:pt idx="0">
                  <c:v>49796</c:v>
                </c:pt>
                <c:pt idx="1">
                  <c:v>508319</c:v>
                </c:pt>
                <c:pt idx="2">
                  <c:v>248676</c:v>
                </c:pt>
                <c:pt idx="3">
                  <c:v>288123</c:v>
                </c:pt>
                <c:pt idx="4">
                  <c:v>410136</c:v>
                </c:pt>
                <c:pt idx="5">
                  <c:v>488814</c:v>
                </c:pt>
                <c:pt idx="6">
                  <c:v>509215</c:v>
                </c:pt>
                <c:pt idx="7">
                  <c:v>527234</c:v>
                </c:pt>
                <c:pt idx="8">
                  <c:v>483972</c:v>
                </c:pt>
              </c:numCache>
            </c:numRef>
          </c:val>
          <c:extLst>
            <c:ext xmlns:c16="http://schemas.microsoft.com/office/drawing/2014/chart" uri="{C3380CC4-5D6E-409C-BE32-E72D297353CC}">
              <c16:uniqueId val="{00000000-0DB4-4156-A1B2-7A38A9666EB0}"/>
            </c:ext>
          </c:extLst>
        </c:ser>
        <c:dLbls>
          <c:showLegendKey val="0"/>
          <c:showVal val="0"/>
          <c:showCatName val="0"/>
          <c:showSerName val="0"/>
          <c:showPercent val="0"/>
          <c:showBubbleSize val="0"/>
        </c:dLbls>
        <c:gapWidth val="219"/>
        <c:overlap val="-27"/>
        <c:axId val="212013136"/>
        <c:axId val="212013696"/>
        <c:extLst>
          <c:ext xmlns:c15="http://schemas.microsoft.com/office/drawing/2012/chart" uri="{02D57815-91ED-43cb-92C2-25804820EDAC}">
            <c15:filteredBarSeries>
              <c15:ser>
                <c:idx val="0"/>
                <c:order val="0"/>
                <c:tx>
                  <c:strRef>
                    <c:extLst>
                      <c:ext uri="{02D57815-91ED-43cb-92C2-25804820EDAC}">
                        <c15:formulaRef>
                          <c15:sqref>'1765-1920 summary table'!$A$14</c15:sqref>
                        </c15:formulaRef>
                      </c:ext>
                    </c:extLst>
                    <c:strCache>
                      <c:ptCount val="1"/>
                      <c:pt idx="0">
                        <c:v>Establishment Expenses</c:v>
                      </c:pt>
                    </c:strCache>
                  </c:strRef>
                </c:tx>
                <c:spPr>
                  <a:solidFill>
                    <a:schemeClr val="accent1"/>
                  </a:solidFill>
                  <a:ln>
                    <a:noFill/>
                  </a:ln>
                  <a:effectLst/>
                </c:spPr>
                <c:invertIfNegative val="0"/>
                <c:cat>
                  <c:numRef>
                    <c:extLst>
                      <c:ex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uri="{02D57815-91ED-43cb-92C2-25804820EDAC}">
                        <c15:fullRef>
                          <c15:sqref>'1765-1920 summary table'!$B$14:$N$14</c15:sqref>
                        </c15:fullRef>
                        <c15:formulaRef>
                          <c15:sqref>('1765-1920 summary table'!$B$14:$C$14,'1765-1920 summary table'!$F$14:$L$14)</c15:sqref>
                        </c15:formulaRef>
                      </c:ext>
                    </c:extLst>
                    <c:numCache>
                      <c:formatCode>_-* #,##0_-;\-* #,##0_-;_-* "-"??_-;_-@_-</c:formatCode>
                      <c:ptCount val="9"/>
                      <c:pt idx="0">
                        <c:v>188131</c:v>
                      </c:pt>
                      <c:pt idx="1">
                        <c:v>175237.5</c:v>
                      </c:pt>
                      <c:pt idx="2">
                        <c:v>143107</c:v>
                      </c:pt>
                      <c:pt idx="3">
                        <c:v>143133</c:v>
                      </c:pt>
                      <c:pt idx="4">
                        <c:v>121995</c:v>
                      </c:pt>
                      <c:pt idx="5">
                        <c:v>77204</c:v>
                      </c:pt>
                      <c:pt idx="6">
                        <c:v>148023</c:v>
                      </c:pt>
                      <c:pt idx="7">
                        <c:v>209996</c:v>
                      </c:pt>
                      <c:pt idx="8">
                        <c:v>288289</c:v>
                      </c:pt>
                    </c:numCache>
                  </c:numRef>
                </c:val>
                <c:extLst>
                  <c:ext xmlns:c16="http://schemas.microsoft.com/office/drawing/2014/chart" uri="{C3380CC4-5D6E-409C-BE32-E72D297353CC}">
                    <c16:uniqueId val="{00000001-0DB4-4156-A1B2-7A38A9666EB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'1765-1920 summary table'!$A$15</c15:sqref>
                        </c15:formulaRef>
                      </c:ext>
                    </c:extLst>
                    <c:strCache>
                      <c:ptCount val="1"/>
                      <c:pt idx="0">
                        <c:v>Salaries, stipends and pensions</c:v>
                      </c:pt>
                    </c:strCache>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table'!$B$15:$N$15</c15:sqref>
                        </c15:fullRef>
                        <c15:formulaRef>
                          <c15:sqref>('1765-1920 summary table'!$B$15:$C$15,'1765-1920 summary table'!$F$15:$L$15)</c15:sqref>
                        </c15:formulaRef>
                      </c:ext>
                    </c:extLst>
                    <c:numCache>
                      <c:formatCode>_-* #,##0_-;\-* #,##0_-;_-* "-"??_-;_-@_-</c:formatCode>
                      <c:ptCount val="9"/>
                      <c:pt idx="0">
                        <c:v>55680</c:v>
                      </c:pt>
                      <c:pt idx="1">
                        <c:v>170124</c:v>
                      </c:pt>
                      <c:pt idx="2">
                        <c:v>126060</c:v>
                      </c:pt>
                      <c:pt idx="3">
                        <c:v>162060</c:v>
                      </c:pt>
                      <c:pt idx="4">
                        <c:v>247920</c:v>
                      </c:pt>
                      <c:pt idx="5">
                        <c:v>252952</c:v>
                      </c:pt>
                      <c:pt idx="6">
                        <c:v>261501</c:v>
                      </c:pt>
                      <c:pt idx="7">
                        <c:v>421344</c:v>
                      </c:pt>
                      <c:pt idx="8">
                        <c:v>464901</c:v>
                      </c:pt>
                    </c:numCache>
                  </c:numRef>
                </c:val>
                <c:extLst>
                  <c:ext xmlns:c16="http://schemas.microsoft.com/office/drawing/2014/chart" uri="{C3380CC4-5D6E-409C-BE32-E72D297353CC}">
                    <c16:uniqueId val="{00000002-0DB4-4156-A1B2-7A38A9666EB0}"/>
                  </c:ext>
                </c:extLst>
              </c15:ser>
            </c15:filteredBarSeries>
          </c:ext>
        </c:extLst>
      </c:barChart>
      <c:catAx>
        <c:axId val="21201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13696"/>
        <c:crosses val="autoZero"/>
        <c:auto val="1"/>
        <c:lblAlgn val="ctr"/>
        <c:lblOffset val="100"/>
        <c:noMultiLvlLbl val="0"/>
      </c:catAx>
      <c:valAx>
        <c:axId val="21201369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01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Main components of RS Income, 1880-2010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'1880-2010 summary table'!$A$4</c:f>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1-E7AC-49D4-B8D3-A9606C891EDE}"/>
              </c:ext>
            </c:extLst>
          </c:dPt>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table'!$B$4:$O$4</c:f>
              <c:numCache>
                <c:formatCode>_-* #,##0_-;\-* #,##0_-;_-* "-"??_-;_-@_-</c:formatCode>
                <c:ptCount val="14"/>
                <c:pt idx="0">
                  <c:v>1475</c:v>
                </c:pt>
                <c:pt idx="1">
                  <c:v>1526</c:v>
                </c:pt>
                <c:pt idx="2">
                  <c:v>1550</c:v>
                </c:pt>
                <c:pt idx="3">
                  <c:v>1727.2458333333334</c:v>
                </c:pt>
                <c:pt idx="4">
                  <c:v>1683.5583333333334</c:v>
                </c:pt>
                <c:pt idx="5">
                  <c:v>2120</c:v>
                </c:pt>
                <c:pt idx="6">
                  <c:v>2210</c:v>
                </c:pt>
                <c:pt idx="7">
                  <c:v>2530</c:v>
                </c:pt>
                <c:pt idx="8">
                  <c:v>3255</c:v>
                </c:pt>
                <c:pt idx="9">
                  <c:v>6340</c:v>
                </c:pt>
                <c:pt idx="10">
                  <c:v>16340</c:v>
                </c:pt>
                <c:pt idx="11">
                  <c:v>57849</c:v>
                </c:pt>
                <c:pt idx="12">
                  <c:v>146000</c:v>
                </c:pt>
                <c:pt idx="13">
                  <c:v>203000</c:v>
                </c:pt>
              </c:numCache>
            </c:numRef>
          </c:val>
          <c:extLst>
            <c:ext xmlns:c16="http://schemas.microsoft.com/office/drawing/2014/chart" uri="{C3380CC4-5D6E-409C-BE32-E72D297353CC}">
              <c16:uniqueId val="{00000002-E7AC-49D4-B8D3-A9606C891EDE}"/>
            </c:ext>
          </c:extLst>
        </c:ser>
        <c:ser>
          <c:idx val="1"/>
          <c:order val="1"/>
          <c:tx>
            <c:strRef>
              <c:f>'1880-2010 summary table'!$A$5</c:f>
              <c:strCache>
                <c:ptCount val="1"/>
                <c:pt idx="0">
                  <c:v>Investments &amp; Rents</c:v>
                </c:pt>
              </c:strCache>
            </c:strRef>
          </c:tx>
          <c:spPr>
            <a:solidFill>
              <a:schemeClr val="accent2"/>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table'!$B$5:$O$5</c:f>
              <c:numCache>
                <c:formatCode>_-* #,##0_-;\-* #,##0_-;_-* "-"??_-;_-@_-</c:formatCode>
                <c:ptCount val="14"/>
                <c:pt idx="0">
                  <c:v>1934.3791666666666</c:v>
                </c:pt>
                <c:pt idx="1">
                  <c:v>3310.1458333333335</c:v>
                </c:pt>
                <c:pt idx="2">
                  <c:v>3339.7833333333333</c:v>
                </c:pt>
                <c:pt idx="3">
                  <c:v>3548.9833333333331</c:v>
                </c:pt>
                <c:pt idx="4">
                  <c:v>5088.7458333333334</c:v>
                </c:pt>
                <c:pt idx="5">
                  <c:v>5752.8416666666662</c:v>
                </c:pt>
                <c:pt idx="6">
                  <c:v>4524.5791666666664</c:v>
                </c:pt>
                <c:pt idx="7">
                  <c:v>5814.6750000000002</c:v>
                </c:pt>
                <c:pt idx="8">
                  <c:v>15854</c:v>
                </c:pt>
                <c:pt idx="9">
                  <c:v>38728</c:v>
                </c:pt>
                <c:pt idx="10">
                  <c:v>321817</c:v>
                </c:pt>
                <c:pt idx="11">
                  <c:v>590511</c:v>
                </c:pt>
                <c:pt idx="12">
                  <c:v>673000</c:v>
                </c:pt>
                <c:pt idx="13">
                  <c:v>1088000</c:v>
                </c:pt>
              </c:numCache>
            </c:numRef>
          </c:val>
          <c:extLst>
            <c:ext xmlns:c16="http://schemas.microsoft.com/office/drawing/2014/chart" uri="{C3380CC4-5D6E-409C-BE32-E72D297353CC}">
              <c16:uniqueId val="{00000003-E7AC-49D4-B8D3-A9606C891EDE}"/>
            </c:ext>
          </c:extLst>
        </c:ser>
        <c:ser>
          <c:idx val="2"/>
          <c:order val="2"/>
          <c:tx>
            <c:strRef>
              <c:f>'1880-2010 summary table'!$A$28</c:f>
              <c:strCache>
                <c:ptCount val="1"/>
                <c:pt idx="0">
                  <c:v>Publication Sales (net)</c:v>
                </c:pt>
              </c:strCache>
            </c:strRef>
          </c:tx>
          <c:spPr>
            <a:solidFill>
              <a:schemeClr val="accent3"/>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table'!$B$28:$O$28</c:f>
              <c:numCache>
                <c:formatCode>_-* #,##0_-;\-* #,##0_-;_-* "-"??_-;_-@_-</c:formatCode>
                <c:ptCount val="14"/>
                <c:pt idx="0">
                  <c:v>789.57500000000005</c:v>
                </c:pt>
                <c:pt idx="1">
                  <c:v>659.17499999999995</c:v>
                </c:pt>
                <c:pt idx="2">
                  <c:v>708.3</c:v>
                </c:pt>
                <c:pt idx="3">
                  <c:v>987.4</c:v>
                </c:pt>
                <c:pt idx="4">
                  <c:v>1351.1</c:v>
                </c:pt>
                <c:pt idx="5">
                  <c:v>5002.8125</c:v>
                </c:pt>
                <c:pt idx="6">
                  <c:v>5936.5541666666668</c:v>
                </c:pt>
                <c:pt idx="7">
                  <c:v>16414.054166666665</c:v>
                </c:pt>
                <c:pt idx="8">
                  <c:v>79019</c:v>
                </c:pt>
                <c:pt idx="9">
                  <c:v>203362</c:v>
                </c:pt>
                <c:pt idx="10">
                  <c:v>758122</c:v>
                </c:pt>
                <c:pt idx="11">
                  <c:v>1284060</c:v>
                </c:pt>
                <c:pt idx="12">
                  <c:v>1773000</c:v>
                </c:pt>
                <c:pt idx="13">
                  <c:v>4406000</c:v>
                </c:pt>
              </c:numCache>
            </c:numRef>
          </c:val>
          <c:extLst>
            <c:ext xmlns:c16="http://schemas.microsoft.com/office/drawing/2014/chart" uri="{C3380CC4-5D6E-409C-BE32-E72D297353CC}">
              <c16:uniqueId val="{00000004-E7AC-49D4-B8D3-A9606C891EDE}"/>
            </c:ext>
          </c:extLst>
        </c:ser>
        <c:ser>
          <c:idx val="3"/>
          <c:order val="3"/>
          <c:tx>
            <c:strRef>
              <c:f>'1880-2010 summary table'!$A$8</c:f>
              <c:strCache>
                <c:ptCount val="1"/>
                <c:pt idx="0">
                  <c:v>Administration Charges (grants)</c:v>
                </c:pt>
              </c:strCache>
            </c:strRef>
          </c:tx>
          <c:spPr>
            <a:solidFill>
              <a:schemeClr val="accent4"/>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table'!$B$8:$O$8</c:f>
              <c:numCache>
                <c:formatCode>_-* #,##0_-;\-* #,##0_-;_-* "-"??_-;_-@_-</c:formatCode>
                <c:ptCount val="14"/>
                <c:pt idx="0">
                  <c:v>0</c:v>
                </c:pt>
                <c:pt idx="1">
                  <c:v>0</c:v>
                </c:pt>
                <c:pt idx="2">
                  <c:v>0</c:v>
                </c:pt>
                <c:pt idx="3">
                  <c:v>0</c:v>
                </c:pt>
                <c:pt idx="4">
                  <c:v>0</c:v>
                </c:pt>
                <c:pt idx="5">
                  <c:v>0</c:v>
                </c:pt>
                <c:pt idx="6">
                  <c:v>2317.0333333333333</c:v>
                </c:pt>
                <c:pt idx="7">
                  <c:v>6584.8083333333334</c:v>
                </c:pt>
                <c:pt idx="8">
                  <c:v>25341</c:v>
                </c:pt>
                <c:pt idx="9">
                  <c:v>58879</c:v>
                </c:pt>
                <c:pt idx="10">
                  <c:v>444193</c:v>
                </c:pt>
                <c:pt idx="11">
                  <c:v>1354405</c:v>
                </c:pt>
                <c:pt idx="12">
                  <c:v>1886000</c:v>
                </c:pt>
                <c:pt idx="13">
                  <c:v>1770000</c:v>
                </c:pt>
              </c:numCache>
            </c:numRef>
          </c:val>
          <c:extLst>
            <c:ext xmlns:c16="http://schemas.microsoft.com/office/drawing/2014/chart" uri="{C3380CC4-5D6E-409C-BE32-E72D297353CC}">
              <c16:uniqueId val="{00000005-E7AC-49D4-B8D3-A9606C891EDE}"/>
            </c:ext>
          </c:extLst>
        </c:ser>
        <c:dLbls>
          <c:showLegendKey val="0"/>
          <c:showVal val="0"/>
          <c:showCatName val="0"/>
          <c:showSerName val="0"/>
          <c:showPercent val="0"/>
          <c:showBubbleSize val="0"/>
        </c:dLbls>
        <c:gapWidth val="219"/>
        <c:overlap val="-27"/>
        <c:axId val="212981184"/>
        <c:axId val="212981744"/>
      </c:barChart>
      <c:catAx>
        <c:axId val="212981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1744"/>
        <c:crosses val="autoZero"/>
        <c:auto val="1"/>
        <c:lblAlgn val="ctr"/>
        <c:lblOffset val="100"/>
        <c:noMultiLvlLbl val="0"/>
      </c:catAx>
      <c:valAx>
        <c:axId val="2129817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Key items of RS Expenditure, 1880-2010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'1880-2010 summary table'!$A$15</c:f>
              <c:strCache>
                <c:ptCount val="1"/>
                <c:pt idx="0">
                  <c:v>Establishment Expenses</c:v>
                </c:pt>
              </c:strCache>
            </c:strRef>
          </c:tx>
          <c:spPr>
            <a:solidFill>
              <a:schemeClr val="accent1"/>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table'!$B$15:$O$15</c:f>
              <c:numCache>
                <c:formatCode>_-* #,##0_-;\-* #,##0_-;_-* "-"??_-;_-@_-</c:formatCode>
                <c:ptCount val="14"/>
                <c:pt idx="0">
                  <c:v>616.76250000000005</c:v>
                </c:pt>
                <c:pt idx="1">
                  <c:v>874.98333333333335</c:v>
                </c:pt>
                <c:pt idx="2">
                  <c:v>1201.2041666666667</c:v>
                </c:pt>
                <c:pt idx="3">
                  <c:v>1619.9083333333333</c:v>
                </c:pt>
                <c:pt idx="4">
                  <c:v>2486.3958333333335</c:v>
                </c:pt>
                <c:pt idx="5">
                  <c:v>1857.7791666666667</c:v>
                </c:pt>
                <c:pt idx="6">
                  <c:v>5306.3833333333332</c:v>
                </c:pt>
                <c:pt idx="7">
                  <c:v>9193.1625000000004</c:v>
                </c:pt>
                <c:pt idx="8">
                  <c:v>23444</c:v>
                </c:pt>
                <c:pt idx="9">
                  <c:v>111334</c:v>
                </c:pt>
                <c:pt idx="10">
                  <c:v>243878</c:v>
                </c:pt>
                <c:pt idx="11">
                  <c:v>1030196</c:v>
                </c:pt>
                <c:pt idx="12">
                  <c:v>656000</c:v>
                </c:pt>
                <c:pt idx="13">
                  <c:v>1379000</c:v>
                </c:pt>
              </c:numCache>
            </c:numRef>
          </c:val>
          <c:extLst>
            <c:ext xmlns:c16="http://schemas.microsoft.com/office/drawing/2014/chart" uri="{C3380CC4-5D6E-409C-BE32-E72D297353CC}">
              <c16:uniqueId val="{00000000-EE1F-4E9D-A571-DE0801C08F23}"/>
            </c:ext>
          </c:extLst>
        </c:ser>
        <c:ser>
          <c:idx val="1"/>
          <c:order val="1"/>
          <c:tx>
            <c:strRef>
              <c:f>'1880-2010 summary table'!$A$16</c:f>
              <c:strCache>
                <c:ptCount val="1"/>
                <c:pt idx="0">
                  <c:v>Salaries, stipends and pensions</c:v>
                </c:pt>
              </c:strCache>
            </c:strRef>
          </c:tx>
          <c:spPr>
            <a:solidFill>
              <a:schemeClr val="accent2"/>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table'!$B$16:$O$16</c:f>
              <c:numCache>
                <c:formatCode>_-* #,##0_-;\-* #,##0_-;_-* "-"??_-;_-@_-</c:formatCode>
                <c:ptCount val="14"/>
                <c:pt idx="0">
                  <c:v>1089.5875000000001</c:v>
                </c:pt>
                <c:pt idx="1">
                  <c:v>1755.6</c:v>
                </c:pt>
                <c:pt idx="2">
                  <c:v>1937.0875000000001</c:v>
                </c:pt>
                <c:pt idx="3">
                  <c:v>2351.5250000000001</c:v>
                </c:pt>
                <c:pt idx="4">
                  <c:v>4440.895833333333</c:v>
                </c:pt>
                <c:pt idx="5">
                  <c:v>5018.0583333333334</c:v>
                </c:pt>
                <c:pt idx="6">
                  <c:v>5351.4041666666662</c:v>
                </c:pt>
                <c:pt idx="7">
                  <c:v>11162.429166666667</c:v>
                </c:pt>
                <c:pt idx="8">
                  <c:v>58854</c:v>
                </c:pt>
                <c:pt idx="9">
                  <c:v>205196</c:v>
                </c:pt>
                <c:pt idx="10">
                  <c:v>720564</c:v>
                </c:pt>
                <c:pt idx="11">
                  <c:v>1541571</c:v>
                </c:pt>
                <c:pt idx="12">
                  <c:v>3053000</c:v>
                </c:pt>
                <c:pt idx="13">
                  <c:v>6834000</c:v>
                </c:pt>
              </c:numCache>
            </c:numRef>
          </c:val>
          <c:extLst>
            <c:ext xmlns:c16="http://schemas.microsoft.com/office/drawing/2014/chart" uri="{C3380CC4-5D6E-409C-BE32-E72D297353CC}">
              <c16:uniqueId val="{00000001-EE1F-4E9D-A571-DE0801C08F23}"/>
            </c:ext>
          </c:extLst>
        </c:ser>
        <c:ser>
          <c:idx val="2"/>
          <c:order val="2"/>
          <c:tx>
            <c:strRef>
              <c:f>'1880-2010 summary table'!$A$32</c:f>
              <c:strCache>
                <c:ptCount val="1"/>
                <c:pt idx="0">
                  <c:v>Publication Costs</c:v>
                </c:pt>
              </c:strCache>
            </c:strRef>
          </c:tx>
          <c:spPr>
            <a:solidFill>
              <a:schemeClr val="accent3"/>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table'!$B$32:$O$32</c:f>
              <c:numCache>
                <c:formatCode>_-* #,##0_-;\-* #,##0_-;_-* "-"??_-;_-@_-</c:formatCode>
                <c:ptCount val="14"/>
                <c:pt idx="0">
                  <c:v>2121.7291666666665</c:v>
                </c:pt>
                <c:pt idx="1">
                  <c:v>2196.8083333333334</c:v>
                </c:pt>
                <c:pt idx="2">
                  <c:v>2016.55</c:v>
                </c:pt>
                <c:pt idx="3">
                  <c:v>2563.1999999999998</c:v>
                </c:pt>
                <c:pt idx="4">
                  <c:v>6134.0375000000004</c:v>
                </c:pt>
                <c:pt idx="5">
                  <c:v>9284.9833333333336</c:v>
                </c:pt>
                <c:pt idx="6">
                  <c:v>9421.7958333333336</c:v>
                </c:pt>
                <c:pt idx="7">
                  <c:v>19305.724999999999</c:v>
                </c:pt>
                <c:pt idx="8">
                  <c:v>78033</c:v>
                </c:pt>
                <c:pt idx="9">
                  <c:v>124783</c:v>
                </c:pt>
                <c:pt idx="10">
                  <c:v>567587</c:v>
                </c:pt>
                <c:pt idx="11">
                  <c:v>1214875</c:v>
                </c:pt>
                <c:pt idx="12">
                  <c:v>1532000</c:v>
                </c:pt>
                <c:pt idx="13">
                  <c:v>2984000</c:v>
                </c:pt>
              </c:numCache>
            </c:numRef>
          </c:val>
          <c:extLst>
            <c:ext xmlns:c16="http://schemas.microsoft.com/office/drawing/2014/chart" uri="{C3380CC4-5D6E-409C-BE32-E72D297353CC}">
              <c16:uniqueId val="{00000002-EE1F-4E9D-A571-DE0801C08F23}"/>
            </c:ext>
          </c:extLst>
        </c:ser>
        <c:dLbls>
          <c:showLegendKey val="0"/>
          <c:showVal val="0"/>
          <c:showCatName val="0"/>
          <c:showSerName val="0"/>
          <c:showPercent val="0"/>
          <c:showBubbleSize val="0"/>
        </c:dLbls>
        <c:gapWidth val="219"/>
        <c:overlap val="-27"/>
        <c:axId val="212985664"/>
        <c:axId val="212986224"/>
      </c:barChart>
      <c:catAx>
        <c:axId val="21298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6224"/>
        <c:crosses val="autoZero"/>
        <c:auto val="1"/>
        <c:lblAlgn val="ctr"/>
        <c:lblOffset val="100"/>
        <c:noMultiLvlLbl val="0"/>
      </c:catAx>
      <c:valAx>
        <c:axId val="21298622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985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Royal Society Income from Investments and Rents, 1880-2010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'1880-2010 summary table'!$A$5</c:f>
              <c:strCache>
                <c:ptCount val="1"/>
                <c:pt idx="0">
                  <c:v>Investments &amp; Rents</c:v>
                </c:pt>
              </c:strCache>
            </c:strRef>
          </c:tx>
          <c:spPr>
            <a:solidFill>
              <a:schemeClr val="accent2"/>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table'!$B$5:$O$5</c:f>
              <c:numCache>
                <c:formatCode>_-* #,##0_-;\-* #,##0_-;_-* "-"??_-;_-@_-</c:formatCode>
                <c:ptCount val="14"/>
                <c:pt idx="0">
                  <c:v>1934.3791666666666</c:v>
                </c:pt>
                <c:pt idx="1">
                  <c:v>3310.1458333333335</c:v>
                </c:pt>
                <c:pt idx="2">
                  <c:v>3339.7833333333333</c:v>
                </c:pt>
                <c:pt idx="3">
                  <c:v>3548.9833333333331</c:v>
                </c:pt>
                <c:pt idx="4">
                  <c:v>5088.7458333333334</c:v>
                </c:pt>
                <c:pt idx="5">
                  <c:v>5752.8416666666662</c:v>
                </c:pt>
                <c:pt idx="6">
                  <c:v>4524.5791666666664</c:v>
                </c:pt>
                <c:pt idx="7">
                  <c:v>5814.6750000000002</c:v>
                </c:pt>
                <c:pt idx="8">
                  <c:v>15854</c:v>
                </c:pt>
                <c:pt idx="9">
                  <c:v>38728</c:v>
                </c:pt>
                <c:pt idx="10">
                  <c:v>321817</c:v>
                </c:pt>
                <c:pt idx="11">
                  <c:v>590511</c:v>
                </c:pt>
                <c:pt idx="12">
                  <c:v>673000</c:v>
                </c:pt>
                <c:pt idx="13">
                  <c:v>1088000</c:v>
                </c:pt>
              </c:numCache>
            </c:numRef>
          </c:val>
          <c:extLst>
            <c:ext xmlns:c16="http://schemas.microsoft.com/office/drawing/2014/chart" uri="{C3380CC4-5D6E-409C-BE32-E72D297353CC}">
              <c16:uniqueId val="{00000000-85EF-49C7-BFA4-88C7382E4064}"/>
            </c:ext>
          </c:extLst>
        </c:ser>
        <c:dLbls>
          <c:showLegendKey val="0"/>
          <c:showVal val="0"/>
          <c:showCatName val="0"/>
          <c:showSerName val="0"/>
          <c:showPercent val="0"/>
          <c:showBubbleSize val="0"/>
        </c:dLbls>
        <c:gapWidth val="219"/>
        <c:overlap val="-27"/>
        <c:axId val="211499008"/>
        <c:axId val="211499568"/>
        <c:extLst>
          <c:ext xmlns:c15="http://schemas.microsoft.com/office/drawing/2012/chart" uri="{02D57815-91ED-43cb-92C2-25804820EDAC}">
            <c15:filteredBarSeries>
              <c15:ser>
                <c:idx val="0"/>
                <c:order val="0"/>
                <c:tx>
                  <c:strRef>
                    <c:extLst>
                      <c:ext uri="{02D57815-91ED-43cb-92C2-25804820EDAC}">
                        <c15:formulaRef>
                          <c15:sqref>'1880-2010 summary table'!$A$4</c15:sqref>
                        </c15:formulaRef>
                      </c:ext>
                    </c:extLst>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2-85EF-49C7-BFA4-88C7382E4064}"/>
                    </c:ext>
                  </c:extLst>
                </c:dPt>
                <c:cat>
                  <c:numRef>
                    <c:extLst>
                      <c:ex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c:ext uri="{02D57815-91ED-43cb-92C2-25804820EDAC}">
                        <c15:formulaRef>
                          <c15:sqref>'1880-2010 summary table'!$B$4:$F$4</c15:sqref>
                        </c15:formulaRef>
                      </c:ext>
                    </c:extLst>
                    <c:numCache>
                      <c:formatCode>_-* #,##0_-;\-* #,##0_-;_-* "-"??_-;_-@_-</c:formatCode>
                      <c:ptCount val="5"/>
                      <c:pt idx="0">
                        <c:v>1475</c:v>
                      </c:pt>
                      <c:pt idx="1">
                        <c:v>1526</c:v>
                      </c:pt>
                      <c:pt idx="2">
                        <c:v>1550</c:v>
                      </c:pt>
                      <c:pt idx="3">
                        <c:v>1727.2458333333334</c:v>
                      </c:pt>
                      <c:pt idx="4">
                        <c:v>1683.5583333333334</c:v>
                      </c:pt>
                    </c:numCache>
                  </c:numRef>
                </c:val>
                <c:extLst>
                  <c:ext xmlns:c16="http://schemas.microsoft.com/office/drawing/2014/chart" uri="{C3380CC4-5D6E-409C-BE32-E72D297353CC}">
                    <c16:uniqueId val="{00000003-85EF-49C7-BFA4-88C7382E406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'1880-2010 summary table'!$A$28</c15:sqref>
                        </c15:formulaRef>
                      </c:ext>
                    </c:extLst>
                    <c:strCache>
                      <c:ptCount val="1"/>
                      <c:pt idx="0">
                        <c:v>Publication Sales (net)</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summary table'!$B$28:$F$28</c15:sqref>
                        </c15:formulaRef>
                      </c:ext>
                    </c:extLst>
                    <c:numCache>
                      <c:formatCode>_-* #,##0_-;\-* #,##0_-;_-* "-"??_-;_-@_-</c:formatCode>
                      <c:ptCount val="5"/>
                      <c:pt idx="0">
                        <c:v>789.57500000000005</c:v>
                      </c:pt>
                      <c:pt idx="1">
                        <c:v>659.17499999999995</c:v>
                      </c:pt>
                      <c:pt idx="2">
                        <c:v>708.3</c:v>
                      </c:pt>
                      <c:pt idx="3">
                        <c:v>987.4</c:v>
                      </c:pt>
                      <c:pt idx="4">
                        <c:v>1351.1</c:v>
                      </c:pt>
                    </c:numCache>
                  </c:numRef>
                </c:val>
                <c:extLst>
                  <c:ext xmlns:c16="http://schemas.microsoft.com/office/drawing/2014/chart" uri="{C3380CC4-5D6E-409C-BE32-E72D297353CC}">
                    <c16:uniqueId val="{00000004-85EF-49C7-BFA4-88C7382E4064}"/>
                  </c:ext>
                </c:extLst>
              </c15:ser>
            </c15:filteredBarSeries>
          </c:ext>
        </c:extLst>
      </c:barChart>
      <c:catAx>
        <c:axId val="21149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9568"/>
        <c:crosses val="autoZero"/>
        <c:auto val="1"/>
        <c:lblAlgn val="ctr"/>
        <c:lblOffset val="100"/>
        <c:noMultiLvlLbl val="0"/>
      </c:catAx>
      <c:valAx>
        <c:axId val="21149956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499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Royal Society Income from Membership fees, 1880-2010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'1880-2010 summary table'!$A$4</c:f>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1-1B3E-43F4-99BB-7AB1842BE81D}"/>
              </c:ext>
            </c:extLst>
          </c:dPt>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table'!$B$4:$O$4</c:f>
              <c:numCache>
                <c:formatCode>_-* #,##0_-;\-* #,##0_-;_-* "-"??_-;_-@_-</c:formatCode>
                <c:ptCount val="14"/>
                <c:pt idx="0">
                  <c:v>1475</c:v>
                </c:pt>
                <c:pt idx="1">
                  <c:v>1526</c:v>
                </c:pt>
                <c:pt idx="2">
                  <c:v>1550</c:v>
                </c:pt>
                <c:pt idx="3">
                  <c:v>1727.2458333333334</c:v>
                </c:pt>
                <c:pt idx="4">
                  <c:v>1683.5583333333334</c:v>
                </c:pt>
                <c:pt idx="5">
                  <c:v>2120</c:v>
                </c:pt>
                <c:pt idx="6">
                  <c:v>2210</c:v>
                </c:pt>
                <c:pt idx="7">
                  <c:v>2530</c:v>
                </c:pt>
                <c:pt idx="8">
                  <c:v>3255</c:v>
                </c:pt>
                <c:pt idx="9">
                  <c:v>6340</c:v>
                </c:pt>
                <c:pt idx="10">
                  <c:v>16340</c:v>
                </c:pt>
                <c:pt idx="11">
                  <c:v>57849</c:v>
                </c:pt>
                <c:pt idx="12">
                  <c:v>146000</c:v>
                </c:pt>
                <c:pt idx="13">
                  <c:v>203000</c:v>
                </c:pt>
              </c:numCache>
            </c:numRef>
          </c:val>
          <c:extLst>
            <c:ext xmlns:c16="http://schemas.microsoft.com/office/drawing/2014/chart" uri="{C3380CC4-5D6E-409C-BE32-E72D297353CC}">
              <c16:uniqueId val="{00000002-1B3E-43F4-99BB-7AB1842BE81D}"/>
            </c:ext>
          </c:extLst>
        </c:ser>
        <c:dLbls>
          <c:showLegendKey val="0"/>
          <c:showVal val="0"/>
          <c:showCatName val="0"/>
          <c:showSerName val="0"/>
          <c:showPercent val="0"/>
          <c:showBubbleSize val="0"/>
        </c:dLbls>
        <c:gapWidth val="219"/>
        <c:overlap val="-27"/>
        <c:axId val="211503488"/>
        <c:axId val="211504048"/>
        <c:extLst>
          <c:ext xmlns:c15="http://schemas.microsoft.com/office/drawing/2012/chart" uri="{02D57815-91ED-43cb-92C2-25804820EDAC}">
            <c15:filteredBarSeries>
              <c15:ser>
                <c:idx val="1"/>
                <c:order val="1"/>
                <c:tx>
                  <c:strRef>
                    <c:extLst>
                      <c:ext uri="{02D57815-91ED-43cb-92C2-25804820EDAC}">
                        <c15:formulaRef>
                          <c15:sqref>'1880-2010 summary table'!$A$5</c15:sqref>
                        </c15:formulaRef>
                      </c:ext>
                    </c:extLst>
                    <c:strCache>
                      <c:ptCount val="1"/>
                      <c:pt idx="0">
                        <c:v>Investments &amp; Rents</c:v>
                      </c:pt>
                    </c:strCache>
                  </c:strRef>
                </c:tx>
                <c:spPr>
                  <a:solidFill>
                    <a:schemeClr val="accent2"/>
                  </a:solidFill>
                  <a:ln>
                    <a:noFill/>
                  </a:ln>
                  <a:effectLst/>
                </c:spPr>
                <c:invertIfNegative val="0"/>
                <c:cat>
                  <c:numRef>
                    <c:extLst>
                      <c:ex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c:ext uri="{02D57815-91ED-43cb-92C2-25804820EDAC}">
                        <c15:formulaRef>
                          <c15:sqref>'1880-2010 summary table'!$B$5:$F$5</c15:sqref>
                        </c15:formulaRef>
                      </c:ext>
                    </c:extLst>
                    <c:numCache>
                      <c:formatCode>_-* #,##0_-;\-* #,##0_-;_-* "-"??_-;_-@_-</c:formatCode>
                      <c:ptCount val="5"/>
                      <c:pt idx="0">
                        <c:v>1934.3791666666666</c:v>
                      </c:pt>
                      <c:pt idx="1">
                        <c:v>3310.1458333333335</c:v>
                      </c:pt>
                      <c:pt idx="2">
                        <c:v>3339.7833333333333</c:v>
                      </c:pt>
                      <c:pt idx="3">
                        <c:v>3548.9833333333331</c:v>
                      </c:pt>
                      <c:pt idx="4">
                        <c:v>5088.7458333333334</c:v>
                      </c:pt>
                    </c:numCache>
                  </c:numRef>
                </c:val>
                <c:extLst>
                  <c:ext xmlns:c16="http://schemas.microsoft.com/office/drawing/2014/chart" uri="{C3380CC4-5D6E-409C-BE32-E72D297353CC}">
                    <c16:uniqueId val="{00000003-1B3E-43F4-99BB-7AB1842BE81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'1880-2010 summary table'!$A$28</c15:sqref>
                        </c15:formulaRef>
                      </c:ext>
                    </c:extLst>
                    <c:strCache>
                      <c:ptCount val="1"/>
                      <c:pt idx="0">
                        <c:v>Publication Sales (net)</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summary table'!$B$28:$F$28</c15:sqref>
                        </c15:formulaRef>
                      </c:ext>
                    </c:extLst>
                    <c:numCache>
                      <c:formatCode>_-* #,##0_-;\-* #,##0_-;_-* "-"??_-;_-@_-</c:formatCode>
                      <c:ptCount val="5"/>
                      <c:pt idx="0">
                        <c:v>789.57500000000005</c:v>
                      </c:pt>
                      <c:pt idx="1">
                        <c:v>659.17499999999995</c:v>
                      </c:pt>
                      <c:pt idx="2">
                        <c:v>708.3</c:v>
                      </c:pt>
                      <c:pt idx="3">
                        <c:v>987.4</c:v>
                      </c:pt>
                      <c:pt idx="4">
                        <c:v>1351.1</c:v>
                      </c:pt>
                    </c:numCache>
                  </c:numRef>
                </c:val>
                <c:extLst>
                  <c:ext xmlns:c16="http://schemas.microsoft.com/office/drawing/2014/chart" uri="{C3380CC4-5D6E-409C-BE32-E72D297353CC}">
                    <c16:uniqueId val="{00000004-1B3E-43F4-99BB-7AB1842BE81D}"/>
                  </c:ext>
                </c:extLst>
              </c15:ser>
            </c15:filteredBarSeries>
          </c:ext>
        </c:extLst>
      </c:barChart>
      <c:catAx>
        <c:axId val="21150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04048"/>
        <c:crosses val="autoZero"/>
        <c:auto val="1"/>
        <c:lblAlgn val="ctr"/>
        <c:lblOffset val="100"/>
        <c:noMultiLvlLbl val="0"/>
      </c:catAx>
      <c:valAx>
        <c:axId val="21150404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503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Trends in main Royal</a:t>
            </a:r>
            <a:r>
              <a:rPr lang="en-GB" baseline="0"/>
              <a:t> </a:t>
            </a:r>
            <a:r>
              <a:rPr lang="en-GB"/>
              <a:t>Society income streams, 1880-2010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'1880-2010 summary table'!$A$4</c:f>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1-2115-4B8F-ADCD-3FF78721245A}"/>
              </c:ext>
            </c:extLst>
          </c:dPt>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table'!$B$4:$O$4</c:f>
              <c:numCache>
                <c:formatCode>_-* #,##0_-;\-* #,##0_-;_-* "-"??_-;_-@_-</c:formatCode>
                <c:ptCount val="14"/>
                <c:pt idx="0">
                  <c:v>1475</c:v>
                </c:pt>
                <c:pt idx="1">
                  <c:v>1526</c:v>
                </c:pt>
                <c:pt idx="2">
                  <c:v>1550</c:v>
                </c:pt>
                <c:pt idx="3">
                  <c:v>1727.2458333333334</c:v>
                </c:pt>
                <c:pt idx="4">
                  <c:v>1683.5583333333334</c:v>
                </c:pt>
                <c:pt idx="5">
                  <c:v>2120</c:v>
                </c:pt>
                <c:pt idx="6">
                  <c:v>2210</c:v>
                </c:pt>
                <c:pt idx="7">
                  <c:v>2530</c:v>
                </c:pt>
                <c:pt idx="8">
                  <c:v>3255</c:v>
                </c:pt>
                <c:pt idx="9">
                  <c:v>6340</c:v>
                </c:pt>
                <c:pt idx="10">
                  <c:v>16340</c:v>
                </c:pt>
                <c:pt idx="11">
                  <c:v>57849</c:v>
                </c:pt>
                <c:pt idx="12">
                  <c:v>146000</c:v>
                </c:pt>
                <c:pt idx="13">
                  <c:v>203000</c:v>
                </c:pt>
              </c:numCache>
            </c:numRef>
          </c:val>
          <c:extLst>
            <c:ext xmlns:c16="http://schemas.microsoft.com/office/drawing/2014/chart" uri="{C3380CC4-5D6E-409C-BE32-E72D297353CC}">
              <c16:uniqueId val="{00000002-2115-4B8F-ADCD-3FF78721245A}"/>
            </c:ext>
          </c:extLst>
        </c:ser>
        <c:ser>
          <c:idx val="1"/>
          <c:order val="1"/>
          <c:tx>
            <c:strRef>
              <c:f>'1880-2010 summary table'!$A$5</c:f>
              <c:strCache>
                <c:ptCount val="1"/>
                <c:pt idx="0">
                  <c:v>Investments &amp; Rents</c:v>
                </c:pt>
              </c:strCache>
            </c:strRef>
          </c:tx>
          <c:spPr>
            <a:solidFill>
              <a:schemeClr val="accent2"/>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table'!$B$5:$O$5</c:f>
              <c:numCache>
                <c:formatCode>_-* #,##0_-;\-* #,##0_-;_-* "-"??_-;_-@_-</c:formatCode>
                <c:ptCount val="14"/>
                <c:pt idx="0">
                  <c:v>1934.3791666666666</c:v>
                </c:pt>
                <c:pt idx="1">
                  <c:v>3310.1458333333335</c:v>
                </c:pt>
                <c:pt idx="2">
                  <c:v>3339.7833333333333</c:v>
                </c:pt>
                <c:pt idx="3">
                  <c:v>3548.9833333333331</c:v>
                </c:pt>
                <c:pt idx="4">
                  <c:v>5088.7458333333334</c:v>
                </c:pt>
                <c:pt idx="5">
                  <c:v>5752.8416666666662</c:v>
                </c:pt>
                <c:pt idx="6">
                  <c:v>4524.5791666666664</c:v>
                </c:pt>
                <c:pt idx="7">
                  <c:v>5814.6750000000002</c:v>
                </c:pt>
                <c:pt idx="8">
                  <c:v>15854</c:v>
                </c:pt>
                <c:pt idx="9">
                  <c:v>38728</c:v>
                </c:pt>
                <c:pt idx="10">
                  <c:v>321817</c:v>
                </c:pt>
                <c:pt idx="11">
                  <c:v>590511</c:v>
                </c:pt>
                <c:pt idx="12">
                  <c:v>673000</c:v>
                </c:pt>
                <c:pt idx="13">
                  <c:v>1088000</c:v>
                </c:pt>
              </c:numCache>
            </c:numRef>
          </c:val>
          <c:extLst>
            <c:ext xmlns:c16="http://schemas.microsoft.com/office/drawing/2014/chart" uri="{C3380CC4-5D6E-409C-BE32-E72D297353CC}">
              <c16:uniqueId val="{00000003-2115-4B8F-ADCD-3FF78721245A}"/>
            </c:ext>
          </c:extLst>
        </c:ser>
        <c:ser>
          <c:idx val="2"/>
          <c:order val="2"/>
          <c:tx>
            <c:strRef>
              <c:f>'1880-2010 summary table'!$A$28</c:f>
              <c:strCache>
                <c:ptCount val="1"/>
                <c:pt idx="0">
                  <c:v>Publication Sales (net)</c:v>
                </c:pt>
              </c:strCache>
            </c:strRef>
          </c:tx>
          <c:spPr>
            <a:solidFill>
              <a:schemeClr val="accent3"/>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table'!$B$28:$O$28</c:f>
              <c:numCache>
                <c:formatCode>_-* #,##0_-;\-* #,##0_-;_-* "-"??_-;_-@_-</c:formatCode>
                <c:ptCount val="14"/>
                <c:pt idx="0">
                  <c:v>789.57500000000005</c:v>
                </c:pt>
                <c:pt idx="1">
                  <c:v>659.17499999999995</c:v>
                </c:pt>
                <c:pt idx="2">
                  <c:v>708.3</c:v>
                </c:pt>
                <c:pt idx="3">
                  <c:v>987.4</c:v>
                </c:pt>
                <c:pt idx="4">
                  <c:v>1351.1</c:v>
                </c:pt>
                <c:pt idx="5">
                  <c:v>5002.8125</c:v>
                </c:pt>
                <c:pt idx="6">
                  <c:v>5936.5541666666668</c:v>
                </c:pt>
                <c:pt idx="7">
                  <c:v>16414.054166666665</c:v>
                </c:pt>
                <c:pt idx="8">
                  <c:v>79019</c:v>
                </c:pt>
                <c:pt idx="9">
                  <c:v>203362</c:v>
                </c:pt>
                <c:pt idx="10">
                  <c:v>758122</c:v>
                </c:pt>
                <c:pt idx="11">
                  <c:v>1284060</c:v>
                </c:pt>
                <c:pt idx="12">
                  <c:v>1773000</c:v>
                </c:pt>
                <c:pt idx="13">
                  <c:v>4406000</c:v>
                </c:pt>
              </c:numCache>
            </c:numRef>
          </c:val>
          <c:extLst>
            <c:ext xmlns:c16="http://schemas.microsoft.com/office/drawing/2014/chart" uri="{C3380CC4-5D6E-409C-BE32-E72D297353CC}">
              <c16:uniqueId val="{00000004-2115-4B8F-ADCD-3FF78721245A}"/>
            </c:ext>
          </c:extLst>
        </c:ser>
        <c:ser>
          <c:idx val="3"/>
          <c:order val="3"/>
          <c:tx>
            <c:strRef>
              <c:f>'1880-2010 summary table'!$A$8</c:f>
              <c:strCache>
                <c:ptCount val="1"/>
                <c:pt idx="0">
                  <c:v>Administration Charges (grants)</c:v>
                </c:pt>
              </c:strCache>
            </c:strRef>
          </c:tx>
          <c:spPr>
            <a:solidFill>
              <a:schemeClr val="accent4"/>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table'!$B$8:$O$8</c:f>
              <c:numCache>
                <c:formatCode>_-* #,##0_-;\-* #,##0_-;_-* "-"??_-;_-@_-</c:formatCode>
                <c:ptCount val="14"/>
                <c:pt idx="0">
                  <c:v>0</c:v>
                </c:pt>
                <c:pt idx="1">
                  <c:v>0</c:v>
                </c:pt>
                <c:pt idx="2">
                  <c:v>0</c:v>
                </c:pt>
                <c:pt idx="3">
                  <c:v>0</c:v>
                </c:pt>
                <c:pt idx="4">
                  <c:v>0</c:v>
                </c:pt>
                <c:pt idx="5">
                  <c:v>0</c:v>
                </c:pt>
                <c:pt idx="6">
                  <c:v>2317.0333333333333</c:v>
                </c:pt>
                <c:pt idx="7">
                  <c:v>6584.8083333333334</c:v>
                </c:pt>
                <c:pt idx="8">
                  <c:v>25341</c:v>
                </c:pt>
                <c:pt idx="9">
                  <c:v>58879</c:v>
                </c:pt>
                <c:pt idx="10">
                  <c:v>444193</c:v>
                </c:pt>
                <c:pt idx="11">
                  <c:v>1354405</c:v>
                </c:pt>
                <c:pt idx="12">
                  <c:v>1886000</c:v>
                </c:pt>
                <c:pt idx="13">
                  <c:v>1770000</c:v>
                </c:pt>
              </c:numCache>
            </c:numRef>
          </c:val>
          <c:extLst>
            <c:ext xmlns:c16="http://schemas.microsoft.com/office/drawing/2014/chart" uri="{C3380CC4-5D6E-409C-BE32-E72D297353CC}">
              <c16:uniqueId val="{00000005-2115-4B8F-ADCD-3FF78721245A}"/>
            </c:ext>
          </c:extLst>
        </c:ser>
        <c:dLbls>
          <c:showLegendKey val="0"/>
          <c:showVal val="0"/>
          <c:showCatName val="0"/>
          <c:showSerName val="0"/>
          <c:showPercent val="0"/>
          <c:showBubbleSize val="0"/>
        </c:dLbls>
        <c:gapWidth val="219"/>
        <c:overlap val="100"/>
        <c:axId val="207757056"/>
        <c:axId val="207757616"/>
      </c:barChart>
      <c:catAx>
        <c:axId val="20775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757616"/>
        <c:crosses val="autoZero"/>
        <c:auto val="1"/>
        <c:lblAlgn val="ctr"/>
        <c:lblOffset val="100"/>
        <c:noMultiLvlLbl val="0"/>
      </c:catAx>
      <c:valAx>
        <c:axId val="20775761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757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Key items of RS Expenditure, 1765-1920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'1765-1920 summary table'!$A$14</c:f>
              <c:strCache>
                <c:ptCount val="1"/>
                <c:pt idx="0">
                  <c:v>Establishment Expenses</c:v>
                </c:pt>
              </c:strCache>
            </c:strRef>
          </c:tx>
          <c:spPr>
            <a:solidFill>
              <a:schemeClr val="accent1"/>
            </a:solidFill>
            <a:ln>
              <a:noFill/>
            </a:ln>
            <a:effectLst/>
          </c:spPr>
          <c:invertIfNegative val="0"/>
          <c:cat>
            <c:numRef>
              <c:f>'1765-1920 summary table'!$B$1:$N$1</c:f>
              <c:numCache>
                <c:formatCode>General</c:formatCode>
                <c:ptCount val="13"/>
                <c:pt idx="0">
                  <c:v>1765</c:v>
                </c:pt>
                <c:pt idx="1">
                  <c:v>1833</c:v>
                </c:pt>
                <c:pt idx="2">
                  <c:v>1834</c:v>
                </c:pt>
                <c:pt idx="3">
                  <c:v>1838</c:v>
                </c:pt>
                <c:pt idx="4">
                  <c:v>1840</c:v>
                </c:pt>
                <c:pt idx="5">
                  <c:v>1850</c:v>
                </c:pt>
                <c:pt idx="6">
                  <c:v>1860</c:v>
                </c:pt>
                <c:pt idx="7">
                  <c:v>1870</c:v>
                </c:pt>
                <c:pt idx="8">
                  <c:v>1880</c:v>
                </c:pt>
                <c:pt idx="9">
                  <c:v>1890</c:v>
                </c:pt>
                <c:pt idx="10">
                  <c:v>1900</c:v>
                </c:pt>
                <c:pt idx="11">
                  <c:v>1910</c:v>
                </c:pt>
                <c:pt idx="12">
                  <c:v>1920</c:v>
                </c:pt>
              </c:numCache>
            </c:numRef>
          </c:cat>
          <c:val>
            <c:numRef>
              <c:f>'1765-1920 summary table'!$B$14:$N$14</c:f>
              <c:numCache>
                <c:formatCode>_-* #,##0_-;\-* #,##0_-;_-* "-"??_-;_-@_-</c:formatCode>
                <c:ptCount val="13"/>
                <c:pt idx="0">
                  <c:v>188131</c:v>
                </c:pt>
                <c:pt idx="1">
                  <c:v>175237.5</c:v>
                </c:pt>
                <c:pt idx="2">
                  <c:v>211017.5</c:v>
                </c:pt>
                <c:pt idx="3">
                  <c:v>66201</c:v>
                </c:pt>
                <c:pt idx="4">
                  <c:v>143107</c:v>
                </c:pt>
                <c:pt idx="5">
                  <c:v>143133</c:v>
                </c:pt>
                <c:pt idx="6">
                  <c:v>121995</c:v>
                </c:pt>
                <c:pt idx="7">
                  <c:v>77204</c:v>
                </c:pt>
                <c:pt idx="8">
                  <c:v>148023</c:v>
                </c:pt>
                <c:pt idx="9">
                  <c:v>209996</c:v>
                </c:pt>
                <c:pt idx="10">
                  <c:v>288289</c:v>
                </c:pt>
                <c:pt idx="11">
                  <c:v>388778</c:v>
                </c:pt>
                <c:pt idx="12">
                  <c:v>596735</c:v>
                </c:pt>
              </c:numCache>
            </c:numRef>
          </c:val>
          <c:extLst>
            <c:ext xmlns:c16="http://schemas.microsoft.com/office/drawing/2014/chart" uri="{C3380CC4-5D6E-409C-BE32-E72D297353CC}">
              <c16:uniqueId val="{00000000-B036-4A2C-A5C9-865F0477F879}"/>
            </c:ext>
          </c:extLst>
        </c:ser>
        <c:ser>
          <c:idx val="1"/>
          <c:order val="1"/>
          <c:tx>
            <c:strRef>
              <c:f>'1765-1920 summary table'!$A$15</c:f>
              <c:strCache>
                <c:ptCount val="1"/>
                <c:pt idx="0">
                  <c:v>Salaries, stipends and pensions</c:v>
                </c:pt>
              </c:strCache>
            </c:strRef>
          </c:tx>
          <c:spPr>
            <a:solidFill>
              <a:schemeClr val="accent2"/>
            </a:solidFill>
            <a:ln>
              <a:noFill/>
            </a:ln>
            <a:effectLst/>
          </c:spPr>
          <c:invertIfNegative val="0"/>
          <c:cat>
            <c:numRef>
              <c:f>'1765-1920 summary table'!$B$1:$N$1</c:f>
              <c:numCache>
                <c:formatCode>General</c:formatCode>
                <c:ptCount val="13"/>
                <c:pt idx="0">
                  <c:v>1765</c:v>
                </c:pt>
                <c:pt idx="1">
                  <c:v>1833</c:v>
                </c:pt>
                <c:pt idx="2">
                  <c:v>1834</c:v>
                </c:pt>
                <c:pt idx="3">
                  <c:v>1838</c:v>
                </c:pt>
                <c:pt idx="4">
                  <c:v>1840</c:v>
                </c:pt>
                <c:pt idx="5">
                  <c:v>1850</c:v>
                </c:pt>
                <c:pt idx="6">
                  <c:v>1860</c:v>
                </c:pt>
                <c:pt idx="7">
                  <c:v>1870</c:v>
                </c:pt>
                <c:pt idx="8">
                  <c:v>1880</c:v>
                </c:pt>
                <c:pt idx="9">
                  <c:v>1890</c:v>
                </c:pt>
                <c:pt idx="10">
                  <c:v>1900</c:v>
                </c:pt>
                <c:pt idx="11">
                  <c:v>1910</c:v>
                </c:pt>
                <c:pt idx="12">
                  <c:v>1920</c:v>
                </c:pt>
              </c:numCache>
            </c:numRef>
          </c:cat>
          <c:val>
            <c:numRef>
              <c:f>'1765-1920 summary table'!$B$15:$N$15</c:f>
              <c:numCache>
                <c:formatCode>_-* #,##0_-;\-* #,##0_-;_-* "-"??_-;_-@_-</c:formatCode>
                <c:ptCount val="13"/>
                <c:pt idx="0">
                  <c:v>55680</c:v>
                </c:pt>
                <c:pt idx="1">
                  <c:v>170124</c:v>
                </c:pt>
                <c:pt idx="2">
                  <c:v>165921</c:v>
                </c:pt>
                <c:pt idx="3">
                  <c:v>116460</c:v>
                </c:pt>
                <c:pt idx="4">
                  <c:v>126060</c:v>
                </c:pt>
                <c:pt idx="5">
                  <c:v>162060</c:v>
                </c:pt>
                <c:pt idx="6">
                  <c:v>247920</c:v>
                </c:pt>
                <c:pt idx="7">
                  <c:v>252952</c:v>
                </c:pt>
                <c:pt idx="8">
                  <c:v>261501</c:v>
                </c:pt>
                <c:pt idx="9">
                  <c:v>421344</c:v>
                </c:pt>
                <c:pt idx="10">
                  <c:v>464901</c:v>
                </c:pt>
                <c:pt idx="11">
                  <c:v>564366</c:v>
                </c:pt>
                <c:pt idx="12">
                  <c:v>1065815</c:v>
                </c:pt>
              </c:numCache>
            </c:numRef>
          </c:val>
          <c:extLst>
            <c:ext xmlns:c16="http://schemas.microsoft.com/office/drawing/2014/chart" uri="{C3380CC4-5D6E-409C-BE32-E72D297353CC}">
              <c16:uniqueId val="{00000001-B036-4A2C-A5C9-865F0477F879}"/>
            </c:ext>
          </c:extLst>
        </c:ser>
        <c:ser>
          <c:idx val="2"/>
          <c:order val="2"/>
          <c:tx>
            <c:strRef>
              <c:f>'1765-1920 summary table'!$A$37</c:f>
              <c:strCache>
                <c:ptCount val="1"/>
                <c:pt idx="0">
                  <c:v>Publication Costs</c:v>
                </c:pt>
              </c:strCache>
            </c:strRef>
          </c:tx>
          <c:spPr>
            <a:solidFill>
              <a:schemeClr val="accent3"/>
            </a:solidFill>
            <a:ln>
              <a:noFill/>
            </a:ln>
            <a:effectLst/>
          </c:spPr>
          <c:invertIfNegative val="0"/>
          <c:cat>
            <c:numRef>
              <c:f>'1765-1920 summary table'!$B$1:$N$1</c:f>
              <c:numCache>
                <c:formatCode>General</c:formatCode>
                <c:ptCount val="13"/>
                <c:pt idx="0">
                  <c:v>1765</c:v>
                </c:pt>
                <c:pt idx="1">
                  <c:v>1833</c:v>
                </c:pt>
                <c:pt idx="2">
                  <c:v>1834</c:v>
                </c:pt>
                <c:pt idx="3">
                  <c:v>1838</c:v>
                </c:pt>
                <c:pt idx="4">
                  <c:v>1840</c:v>
                </c:pt>
                <c:pt idx="5">
                  <c:v>1850</c:v>
                </c:pt>
                <c:pt idx="6">
                  <c:v>1860</c:v>
                </c:pt>
                <c:pt idx="7">
                  <c:v>1870</c:v>
                </c:pt>
                <c:pt idx="8">
                  <c:v>1880</c:v>
                </c:pt>
                <c:pt idx="9">
                  <c:v>1890</c:v>
                </c:pt>
                <c:pt idx="10">
                  <c:v>1900</c:v>
                </c:pt>
                <c:pt idx="11">
                  <c:v>1910</c:v>
                </c:pt>
                <c:pt idx="12">
                  <c:v>1920</c:v>
                </c:pt>
              </c:numCache>
            </c:numRef>
          </c:cat>
          <c:val>
            <c:numRef>
              <c:f>'1765-1920 summary table'!$B$37:$N$37</c:f>
              <c:numCache>
                <c:formatCode>_-* #,##0_-;\-* #,##0_-;_-* "-"??_-;_-@_-</c:formatCode>
                <c:ptCount val="13"/>
                <c:pt idx="0">
                  <c:v>49796</c:v>
                </c:pt>
                <c:pt idx="1">
                  <c:v>508319</c:v>
                </c:pt>
                <c:pt idx="2">
                  <c:v>365064</c:v>
                </c:pt>
                <c:pt idx="3">
                  <c:v>148769</c:v>
                </c:pt>
                <c:pt idx="4">
                  <c:v>248676</c:v>
                </c:pt>
                <c:pt idx="5">
                  <c:v>288123</c:v>
                </c:pt>
                <c:pt idx="6">
                  <c:v>410136</c:v>
                </c:pt>
                <c:pt idx="7">
                  <c:v>488814</c:v>
                </c:pt>
                <c:pt idx="8">
                  <c:v>509215</c:v>
                </c:pt>
                <c:pt idx="9">
                  <c:v>527234</c:v>
                </c:pt>
                <c:pt idx="10">
                  <c:v>483972</c:v>
                </c:pt>
                <c:pt idx="11">
                  <c:v>615168</c:v>
                </c:pt>
                <c:pt idx="12">
                  <c:v>1472169</c:v>
                </c:pt>
              </c:numCache>
            </c:numRef>
          </c:val>
          <c:extLst>
            <c:ext xmlns:c16="http://schemas.microsoft.com/office/drawing/2014/chart" uri="{C3380CC4-5D6E-409C-BE32-E72D297353CC}">
              <c16:uniqueId val="{00000002-B036-4A2C-A5C9-865F0477F879}"/>
            </c:ext>
          </c:extLst>
        </c:ser>
        <c:dLbls>
          <c:showLegendKey val="0"/>
          <c:showVal val="0"/>
          <c:showCatName val="0"/>
          <c:showSerName val="0"/>
          <c:showPercent val="0"/>
          <c:showBubbleSize val="0"/>
        </c:dLbls>
        <c:gapWidth val="219"/>
        <c:overlap val="-27"/>
        <c:axId val="183200512"/>
        <c:axId val="183201072"/>
      </c:barChart>
      <c:catAx>
        <c:axId val="18320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201072"/>
        <c:crosses val="autoZero"/>
        <c:auto val="1"/>
        <c:lblAlgn val="ctr"/>
        <c:lblOffset val="100"/>
        <c:noMultiLvlLbl val="0"/>
      </c:catAx>
      <c:valAx>
        <c:axId val="18320107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200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Trends in major categories of Royal Society expenditure,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'1880-2010 summary table'!$A$15</c:f>
              <c:strCache>
                <c:ptCount val="1"/>
                <c:pt idx="0">
                  <c:v>Establishment Expenses</c:v>
                </c:pt>
              </c:strCache>
            </c:strRef>
          </c:tx>
          <c:spPr>
            <a:solidFill>
              <a:schemeClr val="accent1"/>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table'!$B$15:$O$15</c:f>
              <c:numCache>
                <c:formatCode>_-* #,##0_-;\-* #,##0_-;_-* "-"??_-;_-@_-</c:formatCode>
                <c:ptCount val="14"/>
                <c:pt idx="0">
                  <c:v>616.76250000000005</c:v>
                </c:pt>
                <c:pt idx="1">
                  <c:v>874.98333333333335</c:v>
                </c:pt>
                <c:pt idx="2">
                  <c:v>1201.2041666666667</c:v>
                </c:pt>
                <c:pt idx="3">
                  <c:v>1619.9083333333333</c:v>
                </c:pt>
                <c:pt idx="4">
                  <c:v>2486.3958333333335</c:v>
                </c:pt>
                <c:pt idx="5">
                  <c:v>1857.7791666666667</c:v>
                </c:pt>
                <c:pt idx="6">
                  <c:v>5306.3833333333332</c:v>
                </c:pt>
                <c:pt idx="7">
                  <c:v>9193.1625000000004</c:v>
                </c:pt>
                <c:pt idx="8">
                  <c:v>23444</c:v>
                </c:pt>
                <c:pt idx="9">
                  <c:v>111334</c:v>
                </c:pt>
                <c:pt idx="10">
                  <c:v>243878</c:v>
                </c:pt>
                <c:pt idx="11">
                  <c:v>1030196</c:v>
                </c:pt>
                <c:pt idx="12">
                  <c:v>656000</c:v>
                </c:pt>
                <c:pt idx="13">
                  <c:v>1379000</c:v>
                </c:pt>
              </c:numCache>
            </c:numRef>
          </c:val>
          <c:extLst>
            <c:ext xmlns:c16="http://schemas.microsoft.com/office/drawing/2014/chart" uri="{C3380CC4-5D6E-409C-BE32-E72D297353CC}">
              <c16:uniqueId val="{00000000-50E4-4786-9EC3-4C6A67A3DE27}"/>
            </c:ext>
          </c:extLst>
        </c:ser>
        <c:ser>
          <c:idx val="1"/>
          <c:order val="1"/>
          <c:tx>
            <c:strRef>
              <c:f>'1880-2010 summary table'!$A$16</c:f>
              <c:strCache>
                <c:ptCount val="1"/>
                <c:pt idx="0">
                  <c:v>Salaries, stipends and pensions</c:v>
                </c:pt>
              </c:strCache>
            </c:strRef>
          </c:tx>
          <c:spPr>
            <a:solidFill>
              <a:schemeClr val="accent2"/>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table'!$B$16:$O$16</c:f>
              <c:numCache>
                <c:formatCode>_-* #,##0_-;\-* #,##0_-;_-* "-"??_-;_-@_-</c:formatCode>
                <c:ptCount val="14"/>
                <c:pt idx="0">
                  <c:v>1089.5875000000001</c:v>
                </c:pt>
                <c:pt idx="1">
                  <c:v>1755.6</c:v>
                </c:pt>
                <c:pt idx="2">
                  <c:v>1937.0875000000001</c:v>
                </c:pt>
                <c:pt idx="3">
                  <c:v>2351.5250000000001</c:v>
                </c:pt>
                <c:pt idx="4">
                  <c:v>4440.895833333333</c:v>
                </c:pt>
                <c:pt idx="5">
                  <c:v>5018.0583333333334</c:v>
                </c:pt>
                <c:pt idx="6">
                  <c:v>5351.4041666666662</c:v>
                </c:pt>
                <c:pt idx="7">
                  <c:v>11162.429166666667</c:v>
                </c:pt>
                <c:pt idx="8">
                  <c:v>58854</c:v>
                </c:pt>
                <c:pt idx="9">
                  <c:v>205196</c:v>
                </c:pt>
                <c:pt idx="10">
                  <c:v>720564</c:v>
                </c:pt>
                <c:pt idx="11">
                  <c:v>1541571</c:v>
                </c:pt>
                <c:pt idx="12">
                  <c:v>3053000</c:v>
                </c:pt>
                <c:pt idx="13">
                  <c:v>6834000</c:v>
                </c:pt>
              </c:numCache>
            </c:numRef>
          </c:val>
          <c:extLst>
            <c:ext xmlns:c16="http://schemas.microsoft.com/office/drawing/2014/chart" uri="{C3380CC4-5D6E-409C-BE32-E72D297353CC}">
              <c16:uniqueId val="{00000001-50E4-4786-9EC3-4C6A67A3DE27}"/>
            </c:ext>
          </c:extLst>
        </c:ser>
        <c:ser>
          <c:idx val="2"/>
          <c:order val="2"/>
          <c:tx>
            <c:strRef>
              <c:f>'1880-2010 summary table'!$A$32</c:f>
              <c:strCache>
                <c:ptCount val="1"/>
                <c:pt idx="0">
                  <c:v>Publication Costs</c:v>
                </c:pt>
              </c:strCache>
            </c:strRef>
          </c:tx>
          <c:spPr>
            <a:solidFill>
              <a:schemeClr val="accent3"/>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table'!$B$32:$O$32</c:f>
              <c:numCache>
                <c:formatCode>_-* #,##0_-;\-* #,##0_-;_-* "-"??_-;_-@_-</c:formatCode>
                <c:ptCount val="14"/>
                <c:pt idx="0">
                  <c:v>2121.7291666666665</c:v>
                </c:pt>
                <c:pt idx="1">
                  <c:v>2196.8083333333334</c:v>
                </c:pt>
                <c:pt idx="2">
                  <c:v>2016.55</c:v>
                </c:pt>
                <c:pt idx="3">
                  <c:v>2563.1999999999998</c:v>
                </c:pt>
                <c:pt idx="4">
                  <c:v>6134.0375000000004</c:v>
                </c:pt>
                <c:pt idx="5">
                  <c:v>9284.9833333333336</c:v>
                </c:pt>
                <c:pt idx="6">
                  <c:v>9421.7958333333336</c:v>
                </c:pt>
                <c:pt idx="7">
                  <c:v>19305.724999999999</c:v>
                </c:pt>
                <c:pt idx="8">
                  <c:v>78033</c:v>
                </c:pt>
                <c:pt idx="9">
                  <c:v>124783</c:v>
                </c:pt>
                <c:pt idx="10">
                  <c:v>567587</c:v>
                </c:pt>
                <c:pt idx="11">
                  <c:v>1214875</c:v>
                </c:pt>
                <c:pt idx="12">
                  <c:v>1532000</c:v>
                </c:pt>
                <c:pt idx="13">
                  <c:v>2984000</c:v>
                </c:pt>
              </c:numCache>
            </c:numRef>
          </c:val>
          <c:extLst>
            <c:ext xmlns:c16="http://schemas.microsoft.com/office/drawing/2014/chart" uri="{C3380CC4-5D6E-409C-BE32-E72D297353CC}">
              <c16:uniqueId val="{00000002-50E4-4786-9EC3-4C6A67A3DE27}"/>
            </c:ext>
          </c:extLst>
        </c:ser>
        <c:dLbls>
          <c:showLegendKey val="0"/>
          <c:showVal val="0"/>
          <c:showCatName val="0"/>
          <c:showSerName val="0"/>
          <c:showPercent val="0"/>
          <c:showBubbleSize val="0"/>
        </c:dLbls>
        <c:gapWidth val="219"/>
        <c:overlap val="100"/>
        <c:axId val="214391584"/>
        <c:axId val="214392144"/>
      </c:barChart>
      <c:catAx>
        <c:axId val="214391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92144"/>
        <c:crosses val="autoZero"/>
        <c:auto val="1"/>
        <c:lblAlgn val="ctr"/>
        <c:lblOffset val="100"/>
        <c:noMultiLvlLbl val="0"/>
      </c:catAx>
      <c:valAx>
        <c:axId val="2143921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91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Publications</a:t>
            </a:r>
            <a:r>
              <a:rPr lang="en-GB" baseline="0"/>
              <a:t> </a:t>
            </a:r>
            <a:r>
              <a:rPr lang="en-GB"/>
              <a:t>Income, 1880-2010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'1880-2010 summary table'!$A$28</c:f>
              <c:strCache>
                <c:ptCount val="1"/>
                <c:pt idx="0">
                  <c:v>Publication Sales (net)</c:v>
                </c:pt>
              </c:strCache>
            </c:strRef>
          </c:tx>
          <c:spPr>
            <a:solidFill>
              <a:schemeClr val="accent3"/>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summary table'!$B$28:$O$28</c:f>
              <c:numCache>
                <c:formatCode>_-* #,##0_-;\-* #,##0_-;_-* "-"??_-;_-@_-</c:formatCode>
                <c:ptCount val="14"/>
                <c:pt idx="0">
                  <c:v>789.57500000000005</c:v>
                </c:pt>
                <c:pt idx="1">
                  <c:v>659.17499999999995</c:v>
                </c:pt>
                <c:pt idx="2">
                  <c:v>708.3</c:v>
                </c:pt>
                <c:pt idx="3">
                  <c:v>987.4</c:v>
                </c:pt>
                <c:pt idx="4">
                  <c:v>1351.1</c:v>
                </c:pt>
                <c:pt idx="5">
                  <c:v>5002.8125</c:v>
                </c:pt>
                <c:pt idx="6">
                  <c:v>5936.5541666666668</c:v>
                </c:pt>
                <c:pt idx="7">
                  <c:v>16414.054166666665</c:v>
                </c:pt>
                <c:pt idx="8">
                  <c:v>79019</c:v>
                </c:pt>
                <c:pt idx="9">
                  <c:v>203362</c:v>
                </c:pt>
                <c:pt idx="10">
                  <c:v>758122</c:v>
                </c:pt>
                <c:pt idx="11">
                  <c:v>1284060</c:v>
                </c:pt>
                <c:pt idx="12">
                  <c:v>1773000</c:v>
                </c:pt>
                <c:pt idx="13">
                  <c:v>4406000</c:v>
                </c:pt>
              </c:numCache>
            </c:numRef>
          </c:val>
          <c:extLst>
            <c:ext xmlns:c16="http://schemas.microsoft.com/office/drawing/2014/chart" uri="{C3380CC4-5D6E-409C-BE32-E72D297353CC}">
              <c16:uniqueId val="{00000000-D263-473A-82B1-D51C9F45FCFC}"/>
            </c:ext>
          </c:extLst>
        </c:ser>
        <c:dLbls>
          <c:showLegendKey val="0"/>
          <c:showVal val="0"/>
          <c:showCatName val="0"/>
          <c:showSerName val="0"/>
          <c:showPercent val="0"/>
          <c:showBubbleSize val="0"/>
        </c:dLbls>
        <c:gapWidth val="219"/>
        <c:overlap val="-27"/>
        <c:axId val="214396624"/>
        <c:axId val="214397184"/>
        <c:extLst>
          <c:ext xmlns:c15="http://schemas.microsoft.com/office/drawing/2012/chart" uri="{02D57815-91ED-43cb-92C2-25804820EDAC}">
            <c15:filteredBarSeries>
              <c15:ser>
                <c:idx val="0"/>
                <c:order val="0"/>
                <c:tx>
                  <c:strRef>
                    <c:extLst>
                      <c:ext uri="{02D57815-91ED-43cb-92C2-25804820EDAC}">
                        <c15:formulaRef>
                          <c15:sqref>'1880-2010 summary table'!$A$4</c15:sqref>
                        </c15:formulaRef>
                      </c:ext>
                    </c:extLst>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2-D263-473A-82B1-D51C9F45FCFC}"/>
                    </c:ext>
                  </c:extLst>
                </c:dPt>
                <c:cat>
                  <c:numRef>
                    <c:extLst>
                      <c:ex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c:ext uri="{02D57815-91ED-43cb-92C2-25804820EDAC}">
                        <c15:formulaRef>
                          <c15:sqref>'1880-2010 summary table'!$B$4:$O$4</c15:sqref>
                        </c15:formulaRef>
                      </c:ext>
                    </c:extLst>
                    <c:numCache>
                      <c:formatCode>_-* #,##0_-;\-* #,##0_-;_-* "-"??_-;_-@_-</c:formatCode>
                      <c:ptCount val="14"/>
                      <c:pt idx="0">
                        <c:v>1475</c:v>
                      </c:pt>
                      <c:pt idx="1">
                        <c:v>1526</c:v>
                      </c:pt>
                      <c:pt idx="2">
                        <c:v>1550</c:v>
                      </c:pt>
                      <c:pt idx="3">
                        <c:v>1727.2458333333334</c:v>
                      </c:pt>
                      <c:pt idx="4">
                        <c:v>1683.5583333333334</c:v>
                      </c:pt>
                      <c:pt idx="5">
                        <c:v>2120</c:v>
                      </c:pt>
                      <c:pt idx="6">
                        <c:v>2210</c:v>
                      </c:pt>
                      <c:pt idx="7">
                        <c:v>2530</c:v>
                      </c:pt>
                      <c:pt idx="8">
                        <c:v>3255</c:v>
                      </c:pt>
                      <c:pt idx="9">
                        <c:v>6340</c:v>
                      </c:pt>
                      <c:pt idx="10">
                        <c:v>16340</c:v>
                      </c:pt>
                      <c:pt idx="11">
                        <c:v>57849</c:v>
                      </c:pt>
                      <c:pt idx="12">
                        <c:v>146000</c:v>
                      </c:pt>
                      <c:pt idx="13">
                        <c:v>203000</c:v>
                      </c:pt>
                    </c:numCache>
                  </c:numRef>
                </c:val>
                <c:extLst>
                  <c:ext xmlns:c16="http://schemas.microsoft.com/office/drawing/2014/chart" uri="{C3380CC4-5D6E-409C-BE32-E72D297353CC}">
                    <c16:uniqueId val="{00000003-D263-473A-82B1-D51C9F45FCF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'1880-2010 summary table'!$A$5</c15:sqref>
                        </c15:formulaRef>
                      </c:ext>
                    </c:extLst>
                    <c:strCache>
                      <c:ptCount val="1"/>
                      <c:pt idx="0">
                        <c:v>Investments &amp; Rents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summary table'!$B$5:$O$5</c15:sqref>
                        </c15:formulaRef>
                      </c:ext>
                    </c:extLst>
                    <c:numCache>
                      <c:formatCode>_-* #,##0_-;\-* #,##0_-;_-* "-"??_-;_-@_-</c:formatCode>
                      <c:ptCount val="14"/>
                      <c:pt idx="0">
                        <c:v>1934.3791666666666</c:v>
                      </c:pt>
                      <c:pt idx="1">
                        <c:v>3310.1458333333335</c:v>
                      </c:pt>
                      <c:pt idx="2">
                        <c:v>3339.7833333333333</c:v>
                      </c:pt>
                      <c:pt idx="3">
                        <c:v>3548.9833333333331</c:v>
                      </c:pt>
                      <c:pt idx="4">
                        <c:v>5088.7458333333334</c:v>
                      </c:pt>
                      <c:pt idx="5">
                        <c:v>5752.8416666666662</c:v>
                      </c:pt>
                      <c:pt idx="6">
                        <c:v>4524.5791666666664</c:v>
                      </c:pt>
                      <c:pt idx="7">
                        <c:v>5814.6750000000002</c:v>
                      </c:pt>
                      <c:pt idx="8">
                        <c:v>15854</c:v>
                      </c:pt>
                      <c:pt idx="9">
                        <c:v>38728</c:v>
                      </c:pt>
                      <c:pt idx="10">
                        <c:v>321817</c:v>
                      </c:pt>
                      <c:pt idx="11">
                        <c:v>590511</c:v>
                      </c:pt>
                      <c:pt idx="12">
                        <c:v>673000</c:v>
                      </c:pt>
                      <c:pt idx="13">
                        <c:v>1088000</c:v>
                      </c:pt>
                    </c:numCache>
                  </c:numRef>
                </c:val>
                <c:extLst>
                  <c:ext xmlns:c16="http://schemas.microsoft.com/office/drawing/2014/chart" uri="{C3380CC4-5D6E-409C-BE32-E72D297353CC}">
                    <c16:uniqueId val="{00000004-D263-473A-82B1-D51C9F45FCF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'1880-2010 summary table'!$A$8</c15:sqref>
                        </c15:formulaRef>
                      </c:ext>
                    </c:extLst>
                    <c:strCache>
                      <c:ptCount val="1"/>
                      <c:pt idx="0">
                        <c:v>Administration Charges (grants)</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summary table'!$B$8:$O$8</c15:sqref>
                        </c15:formulaRef>
                      </c:ext>
                    </c:extLst>
                    <c:numCache>
                      <c:formatCode>_-* #,##0_-;\-* #,##0_-;_-* "-"??_-;_-@_-</c:formatCode>
                      <c:ptCount val="14"/>
                      <c:pt idx="0">
                        <c:v>0</c:v>
                      </c:pt>
                      <c:pt idx="1">
                        <c:v>0</c:v>
                      </c:pt>
                      <c:pt idx="2">
                        <c:v>0</c:v>
                      </c:pt>
                      <c:pt idx="3">
                        <c:v>0</c:v>
                      </c:pt>
                      <c:pt idx="4">
                        <c:v>0</c:v>
                      </c:pt>
                      <c:pt idx="5">
                        <c:v>0</c:v>
                      </c:pt>
                      <c:pt idx="6">
                        <c:v>2317.0333333333333</c:v>
                      </c:pt>
                      <c:pt idx="7">
                        <c:v>6584.8083333333334</c:v>
                      </c:pt>
                      <c:pt idx="8">
                        <c:v>25341</c:v>
                      </c:pt>
                      <c:pt idx="9">
                        <c:v>58879</c:v>
                      </c:pt>
                      <c:pt idx="10">
                        <c:v>444193</c:v>
                      </c:pt>
                      <c:pt idx="11">
                        <c:v>1354405</c:v>
                      </c:pt>
                      <c:pt idx="12">
                        <c:v>1886000</c:v>
                      </c:pt>
                      <c:pt idx="13">
                        <c:v>1770000</c:v>
                      </c:pt>
                    </c:numCache>
                  </c:numRef>
                </c:val>
                <c:extLst>
                  <c:ext xmlns:c16="http://schemas.microsoft.com/office/drawing/2014/chart" uri="{C3380CC4-5D6E-409C-BE32-E72D297353CC}">
                    <c16:uniqueId val="{00000005-D263-473A-82B1-D51C9F45FCFC}"/>
                  </c:ext>
                </c:extLst>
              </c15:ser>
            </c15:filteredBarSeries>
          </c:ext>
        </c:extLst>
      </c:barChart>
      <c:catAx>
        <c:axId val="21439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97184"/>
        <c:crosses val="autoZero"/>
        <c:auto val="1"/>
        <c:lblAlgn val="ctr"/>
        <c:lblOffset val="100"/>
        <c:noMultiLvlLbl val="0"/>
      </c:catAx>
      <c:valAx>
        <c:axId val="21439718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396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Grant Administration Income, 1880-2010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'1880-2010 summary table'!$A$8</c:f>
              <c:strCache>
                <c:ptCount val="1"/>
                <c:pt idx="0">
                  <c:v>Administration Charges (grants)</c:v>
                </c:pt>
              </c:strCache>
              <c:extLst xmlns:c15="http://schemas.microsoft.com/office/drawing/2012/chart"/>
            </c:strRef>
          </c:tx>
          <c:spPr>
            <a:solidFill>
              <a:schemeClr val="accent4"/>
            </a:solidFill>
            <a:ln>
              <a:noFill/>
            </a:ln>
            <a:effectLst/>
          </c:spPr>
          <c:invertIfNegative val="0"/>
          <c:cat>
            <c:numRef>
              <c:f>'1880-2010 summary table'!$B$1:$O$1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extLst xmlns:c15="http://schemas.microsoft.com/office/drawing/2012/chart"/>
            </c:numRef>
          </c:cat>
          <c:val>
            <c:numRef>
              <c:f>'1880-2010 summary table'!$B$8:$O$8</c:f>
              <c:numCache>
                <c:formatCode>_-* #,##0_-;\-* #,##0_-;_-* "-"??_-;_-@_-</c:formatCode>
                <c:ptCount val="14"/>
                <c:pt idx="0">
                  <c:v>0</c:v>
                </c:pt>
                <c:pt idx="1">
                  <c:v>0</c:v>
                </c:pt>
                <c:pt idx="2">
                  <c:v>0</c:v>
                </c:pt>
                <c:pt idx="3">
                  <c:v>0</c:v>
                </c:pt>
                <c:pt idx="4">
                  <c:v>0</c:v>
                </c:pt>
                <c:pt idx="5">
                  <c:v>0</c:v>
                </c:pt>
                <c:pt idx="6">
                  <c:v>2317.0333333333333</c:v>
                </c:pt>
                <c:pt idx="7">
                  <c:v>6584.8083333333334</c:v>
                </c:pt>
                <c:pt idx="8">
                  <c:v>25341</c:v>
                </c:pt>
                <c:pt idx="9">
                  <c:v>58879</c:v>
                </c:pt>
                <c:pt idx="10">
                  <c:v>444193</c:v>
                </c:pt>
                <c:pt idx="11">
                  <c:v>1354405</c:v>
                </c:pt>
                <c:pt idx="12">
                  <c:v>1886000</c:v>
                </c:pt>
                <c:pt idx="13">
                  <c:v>1770000</c:v>
                </c:pt>
              </c:numCache>
              <c:extLst xmlns:c15="http://schemas.microsoft.com/office/drawing/2012/chart"/>
            </c:numRef>
          </c:val>
          <c:extLst>
            <c:ext xmlns:c16="http://schemas.microsoft.com/office/drawing/2014/chart" uri="{C3380CC4-5D6E-409C-BE32-E72D297353CC}">
              <c16:uniqueId val="{00000000-F390-4C25-80B1-5125F171A6C0}"/>
            </c:ext>
          </c:extLst>
        </c:ser>
        <c:dLbls>
          <c:showLegendKey val="0"/>
          <c:showVal val="0"/>
          <c:showCatName val="0"/>
          <c:showSerName val="0"/>
          <c:showPercent val="0"/>
          <c:showBubbleSize val="0"/>
        </c:dLbls>
        <c:gapWidth val="219"/>
        <c:overlap val="-27"/>
        <c:axId val="214442992"/>
        <c:axId val="214443552"/>
        <c:extLst>
          <c:ext xmlns:c15="http://schemas.microsoft.com/office/drawing/2012/chart" uri="{02D57815-91ED-43cb-92C2-25804820EDAC}">
            <c15:filteredBarSeries>
              <c15:ser>
                <c:idx val="0"/>
                <c:order val="0"/>
                <c:tx>
                  <c:strRef>
                    <c:extLst>
                      <c:ext uri="{02D57815-91ED-43cb-92C2-25804820EDAC}">
                        <c15:formulaRef>
                          <c15:sqref>'1880-2010 summary table'!$A$4</c15:sqref>
                        </c15:formulaRef>
                      </c:ext>
                    </c:extLst>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2-F390-4C25-80B1-5125F171A6C0}"/>
                    </c:ext>
                  </c:extLst>
                </c:dPt>
                <c:cat>
                  <c:numRef>
                    <c:extLst>
                      <c:ex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c:ext uri="{02D57815-91ED-43cb-92C2-25804820EDAC}">
                        <c15:formulaRef>
                          <c15:sqref>'1880-2010 summary table'!$B$4:$O$4</c15:sqref>
                        </c15:formulaRef>
                      </c:ext>
                    </c:extLst>
                    <c:numCache>
                      <c:formatCode>_-* #,##0_-;\-* #,##0_-;_-* "-"??_-;_-@_-</c:formatCode>
                      <c:ptCount val="14"/>
                      <c:pt idx="0">
                        <c:v>1475</c:v>
                      </c:pt>
                      <c:pt idx="1">
                        <c:v>1526</c:v>
                      </c:pt>
                      <c:pt idx="2">
                        <c:v>1550</c:v>
                      </c:pt>
                      <c:pt idx="3">
                        <c:v>1727.2458333333334</c:v>
                      </c:pt>
                      <c:pt idx="4">
                        <c:v>1683.5583333333334</c:v>
                      </c:pt>
                      <c:pt idx="5">
                        <c:v>2120</c:v>
                      </c:pt>
                      <c:pt idx="6">
                        <c:v>2210</c:v>
                      </c:pt>
                      <c:pt idx="7">
                        <c:v>2530</c:v>
                      </c:pt>
                      <c:pt idx="8">
                        <c:v>3255</c:v>
                      </c:pt>
                      <c:pt idx="9">
                        <c:v>6340</c:v>
                      </c:pt>
                      <c:pt idx="10">
                        <c:v>16340</c:v>
                      </c:pt>
                      <c:pt idx="11">
                        <c:v>57849</c:v>
                      </c:pt>
                      <c:pt idx="12">
                        <c:v>146000</c:v>
                      </c:pt>
                      <c:pt idx="13">
                        <c:v>203000</c:v>
                      </c:pt>
                    </c:numCache>
                  </c:numRef>
                </c:val>
                <c:extLst>
                  <c:ext xmlns:c16="http://schemas.microsoft.com/office/drawing/2014/chart" uri="{C3380CC4-5D6E-409C-BE32-E72D297353CC}">
                    <c16:uniqueId val="{00000003-F390-4C25-80B1-5125F171A6C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'1880-2010 summary table'!$A$5</c15:sqref>
                        </c15:formulaRef>
                      </c:ext>
                    </c:extLst>
                    <c:strCache>
                      <c:ptCount val="1"/>
                      <c:pt idx="0">
                        <c:v>Investments &amp; Rents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summary table'!$B$5:$O$5</c15:sqref>
                        </c15:formulaRef>
                      </c:ext>
                    </c:extLst>
                    <c:numCache>
                      <c:formatCode>_-* #,##0_-;\-* #,##0_-;_-* "-"??_-;_-@_-</c:formatCode>
                      <c:ptCount val="14"/>
                      <c:pt idx="0">
                        <c:v>1934.3791666666666</c:v>
                      </c:pt>
                      <c:pt idx="1">
                        <c:v>3310.1458333333335</c:v>
                      </c:pt>
                      <c:pt idx="2">
                        <c:v>3339.7833333333333</c:v>
                      </c:pt>
                      <c:pt idx="3">
                        <c:v>3548.9833333333331</c:v>
                      </c:pt>
                      <c:pt idx="4">
                        <c:v>5088.7458333333334</c:v>
                      </c:pt>
                      <c:pt idx="5">
                        <c:v>5752.8416666666662</c:v>
                      </c:pt>
                      <c:pt idx="6">
                        <c:v>4524.5791666666664</c:v>
                      </c:pt>
                      <c:pt idx="7">
                        <c:v>5814.6750000000002</c:v>
                      </c:pt>
                      <c:pt idx="8">
                        <c:v>15854</c:v>
                      </c:pt>
                      <c:pt idx="9">
                        <c:v>38728</c:v>
                      </c:pt>
                      <c:pt idx="10">
                        <c:v>321817</c:v>
                      </c:pt>
                      <c:pt idx="11">
                        <c:v>590511</c:v>
                      </c:pt>
                      <c:pt idx="12">
                        <c:v>673000</c:v>
                      </c:pt>
                      <c:pt idx="13">
                        <c:v>1088000</c:v>
                      </c:pt>
                    </c:numCache>
                  </c:numRef>
                </c:val>
                <c:extLst>
                  <c:ext xmlns:c16="http://schemas.microsoft.com/office/drawing/2014/chart" uri="{C3380CC4-5D6E-409C-BE32-E72D297353CC}">
                    <c16:uniqueId val="{00000004-F390-4C25-80B1-5125F171A6C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'1880-2010 summary table'!$A$28</c15:sqref>
                        </c15:formulaRef>
                      </c:ext>
                    </c:extLst>
                    <c:strCache>
                      <c:ptCount val="1"/>
                      <c:pt idx="0">
                        <c:v>Publication Sales (net)</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'1880-2010 summary table'!$B$1:$O$1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summary table'!$B$28:$O$28</c15:sqref>
                        </c15:formulaRef>
                      </c:ext>
                    </c:extLst>
                    <c:numCache>
                      <c:formatCode>_-* #,##0_-;\-* #,##0_-;_-* "-"??_-;_-@_-</c:formatCode>
                      <c:ptCount val="14"/>
                      <c:pt idx="0">
                        <c:v>789.57500000000005</c:v>
                      </c:pt>
                      <c:pt idx="1">
                        <c:v>659.17499999999995</c:v>
                      </c:pt>
                      <c:pt idx="2">
                        <c:v>708.3</c:v>
                      </c:pt>
                      <c:pt idx="3">
                        <c:v>987.4</c:v>
                      </c:pt>
                      <c:pt idx="4">
                        <c:v>1351.1</c:v>
                      </c:pt>
                      <c:pt idx="5">
                        <c:v>5002.8125</c:v>
                      </c:pt>
                      <c:pt idx="6">
                        <c:v>5936.5541666666668</c:v>
                      </c:pt>
                      <c:pt idx="7">
                        <c:v>16414.054166666665</c:v>
                      </c:pt>
                      <c:pt idx="8">
                        <c:v>79019</c:v>
                      </c:pt>
                      <c:pt idx="9">
                        <c:v>203362</c:v>
                      </c:pt>
                      <c:pt idx="10">
                        <c:v>758122</c:v>
                      </c:pt>
                      <c:pt idx="11">
                        <c:v>1284060</c:v>
                      </c:pt>
                      <c:pt idx="12">
                        <c:v>1773000</c:v>
                      </c:pt>
                      <c:pt idx="13">
                        <c:v>4406000</c:v>
                      </c:pt>
                    </c:numCache>
                  </c:numRef>
                </c:val>
                <c:extLst>
                  <c:ext xmlns:c16="http://schemas.microsoft.com/office/drawing/2014/chart" uri="{C3380CC4-5D6E-409C-BE32-E72D297353CC}">
                    <c16:uniqueId val="{00000005-F390-4C25-80B1-5125F171A6C0}"/>
                  </c:ext>
                </c:extLst>
              </c15:ser>
            </c15:filteredBarSeries>
          </c:ext>
        </c:extLst>
      </c:barChart>
      <c:catAx>
        <c:axId val="2144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3552"/>
        <c:crosses val="autoZero"/>
        <c:auto val="1"/>
        <c:lblAlgn val="ctr"/>
        <c:lblOffset val="100"/>
        <c:noMultiLvlLbl val="0"/>
      </c:catAx>
      <c:valAx>
        <c:axId val="21444355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4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Main components of RS Income, 1880-2010 (adjusted to 1970£)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'1880-2010 RPI adjusted'!$A$6</c:f>
              <c:strCache>
                <c:ptCount val="1"/>
                <c:pt idx="0">
                  <c:v>Fees</c:v>
                </c:pt>
              </c:strCache>
            </c:strRef>
          </c:tx>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B218-40F0-B6C3-9D2FF74D373B}"/>
              </c:ext>
            </c:extLst>
          </c:dPt>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adjusted'!$B$6:$O$6</c:f>
              <c:numCache>
                <c:formatCode>_(* #,##0.00_);_(* \(#,##0.00\);_(* "-"??_);_(@_)</c:formatCode>
                <c:ptCount val="14"/>
                <c:pt idx="0">
                  <c:v>13245.5</c:v>
                </c:pt>
                <c:pt idx="1">
                  <c:v>13703.480000000001</c:v>
                </c:pt>
                <c:pt idx="2">
                  <c:v>13008.411214953268</c:v>
                </c:pt>
                <c:pt idx="3">
                  <c:v>14495.951012461057</c:v>
                </c:pt>
                <c:pt idx="4">
                  <c:v>5056.3056298773672</c:v>
                </c:pt>
                <c:pt idx="5">
                  <c:v>9378.1280788177464</c:v>
                </c:pt>
                <c:pt idx="6">
                  <c:v>8554.2241379310271</c:v>
                </c:pt>
                <c:pt idx="7">
                  <c:v>5722.7707808564155</c:v>
                </c:pt>
                <c:pt idx="8">
                  <c:v>4904.3456375838923</c:v>
                </c:pt>
                <c:pt idx="9">
                  <c:v>6340</c:v>
                </c:pt>
                <c:pt idx="10">
                  <c:v>4504.9532710280337</c:v>
                </c:pt>
                <c:pt idx="11">
                  <c:v>8393.3381345511807</c:v>
                </c:pt>
                <c:pt idx="12">
                  <c:v>16167.850918353726</c:v>
                </c:pt>
                <c:pt idx="13">
                  <c:v>17397.59286158955</c:v>
                </c:pt>
              </c:numCache>
            </c:numRef>
          </c:val>
          <c:extLst>
            <c:ext xmlns:c16="http://schemas.microsoft.com/office/drawing/2014/chart" uri="{C3380CC4-5D6E-409C-BE32-E72D297353CC}">
              <c16:uniqueId val="{00000002-B218-40F0-B6C3-9D2FF74D373B}"/>
            </c:ext>
          </c:extLst>
        </c:ser>
        <c:ser>
          <c:idx val="1"/>
          <c:order val="1"/>
          <c:tx>
            <c:strRef>
              <c:f>'1880-2010 RPI adjusted'!$A$7</c:f>
              <c:strCache>
                <c:ptCount val="1"/>
                <c:pt idx="0">
                  <c:v>Investments &amp; Rents</c:v>
                </c:pt>
              </c:strCache>
            </c:strRef>
          </c:tx>
          <c:spPr>
            <a:solidFill>
              <a:schemeClr val="accent2"/>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adjusted'!$B$7:$O$7</c:f>
              <c:numCache>
                <c:formatCode>_(* #,##0.00_);_(* \(#,##0.00\);_(* "-"??_);_(@_)</c:formatCode>
                <c:ptCount val="14"/>
                <c:pt idx="0">
                  <c:v>17370.724916666666</c:v>
                </c:pt>
                <c:pt idx="1">
                  <c:v>29725.109583333335</c:v>
                </c:pt>
                <c:pt idx="2">
                  <c:v>28029.209657320866</c:v>
                </c:pt>
                <c:pt idx="3">
                  <c:v>29784.925545171332</c:v>
                </c:pt>
                <c:pt idx="4">
                  <c:v>15283.256716833885</c:v>
                </c:pt>
                <c:pt idx="5">
                  <c:v>25448.531116584596</c:v>
                </c:pt>
                <c:pt idx="6">
                  <c:v>17513.241774425271</c:v>
                </c:pt>
                <c:pt idx="7">
                  <c:v>13152.589798488649</c:v>
                </c:pt>
                <c:pt idx="8">
                  <c:v>23887.402684563705</c:v>
                </c:pt>
                <c:pt idx="9">
                  <c:v>38728</c:v>
                </c:pt>
                <c:pt idx="10">
                  <c:v>88725.247663551316</c:v>
                </c:pt>
                <c:pt idx="11">
                  <c:v>85677.513788863289</c:v>
                </c:pt>
                <c:pt idx="12">
                  <c:v>74527.148411315458</c:v>
                </c:pt>
                <c:pt idx="13">
                  <c:v>93244.241543888813</c:v>
                </c:pt>
              </c:numCache>
            </c:numRef>
          </c:val>
          <c:extLst>
            <c:ext xmlns:c16="http://schemas.microsoft.com/office/drawing/2014/chart" uri="{C3380CC4-5D6E-409C-BE32-E72D297353CC}">
              <c16:uniqueId val="{00000003-B218-40F0-B6C3-9D2FF74D373B}"/>
            </c:ext>
          </c:extLst>
        </c:ser>
        <c:ser>
          <c:idx val="2"/>
          <c:order val="2"/>
          <c:tx>
            <c:strRef>
              <c:f>'1880-2010 RPI adjusted'!$A$30</c:f>
              <c:strCache>
                <c:ptCount val="1"/>
                <c:pt idx="0">
                  <c:v>Publication Sales</c:v>
                </c:pt>
              </c:strCache>
            </c:strRef>
          </c:tx>
          <c:spPr>
            <a:solidFill>
              <a:schemeClr val="accent3"/>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adjusted'!$B$30:$O$30</c:f>
              <c:numCache>
                <c:formatCode>_(* #,##0.00_);_(* \(#,##0.00\);_(* "-"??_);_(@_)</c:formatCode>
                <c:ptCount val="14"/>
                <c:pt idx="0">
                  <c:v>7090.3835000000008</c:v>
                </c:pt>
                <c:pt idx="1">
                  <c:v>5919.3914999999997</c:v>
                </c:pt>
                <c:pt idx="2">
                  <c:v>5944.4242990654193</c:v>
                </c:pt>
                <c:pt idx="3">
                  <c:v>8286.7775700934562</c:v>
                </c:pt>
                <c:pt idx="4">
                  <c:v>4057.8187290969881</c:v>
                </c:pt>
                <c:pt idx="5">
                  <c:v>22130.668103448304</c:v>
                </c:pt>
                <c:pt idx="6">
                  <c:v>22978.558800287334</c:v>
                </c:pt>
                <c:pt idx="7">
                  <c:v>37128.011691855529</c:v>
                </c:pt>
                <c:pt idx="8">
                  <c:v>119058.82885906014</c:v>
                </c:pt>
                <c:pt idx="9">
                  <c:v>203362</c:v>
                </c:pt>
                <c:pt idx="10">
                  <c:v>209014.94392523347</c:v>
                </c:pt>
                <c:pt idx="11">
                  <c:v>186304.85859827808</c:v>
                </c:pt>
                <c:pt idx="12">
                  <c:v>196339.72382356957</c:v>
                </c:pt>
                <c:pt idx="13">
                  <c:v>377604.89728159388</c:v>
                </c:pt>
              </c:numCache>
            </c:numRef>
          </c:val>
          <c:extLst>
            <c:ext xmlns:c16="http://schemas.microsoft.com/office/drawing/2014/chart" uri="{C3380CC4-5D6E-409C-BE32-E72D297353CC}">
              <c16:uniqueId val="{00000004-B218-40F0-B6C3-9D2FF74D373B}"/>
            </c:ext>
          </c:extLst>
        </c:ser>
        <c:ser>
          <c:idx val="3"/>
          <c:order val="3"/>
          <c:tx>
            <c:strRef>
              <c:f>'1880-2010 RPI adjusted'!$A$10</c:f>
              <c:strCache>
                <c:ptCount val="1"/>
                <c:pt idx="0">
                  <c:v>Administration Charges (grants)</c:v>
                </c:pt>
              </c:strCache>
            </c:strRef>
          </c:tx>
          <c:spPr>
            <a:solidFill>
              <a:schemeClr val="accent4"/>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adjusted'!$B$10:$O$10</c:f>
              <c:numCache>
                <c:formatCode>_(* #,##0.00_);_(* \(#,##0.00\);_(* "-"??_);_(@_)</c:formatCode>
                <c:ptCount val="14"/>
                <c:pt idx="0">
                  <c:v>0</c:v>
                </c:pt>
                <c:pt idx="1">
                  <c:v>0</c:v>
                </c:pt>
                <c:pt idx="2">
                  <c:v>0</c:v>
                </c:pt>
                <c:pt idx="3">
                  <c:v>0</c:v>
                </c:pt>
                <c:pt idx="4">
                  <c:v>0</c:v>
                </c:pt>
                <c:pt idx="5">
                  <c:v>0</c:v>
                </c:pt>
                <c:pt idx="6">
                  <c:v>8968.5169540229799</c:v>
                </c:pt>
                <c:pt idx="7">
                  <c:v>14894.604240134322</c:v>
                </c:pt>
                <c:pt idx="8">
                  <c:v>38181.573825503277</c:v>
                </c:pt>
                <c:pt idx="9">
                  <c:v>58879</c:v>
                </c:pt>
                <c:pt idx="10">
                  <c:v>122464.42523364475</c:v>
                </c:pt>
                <c:pt idx="11">
                  <c:v>196511.24714561689</c:v>
                </c:pt>
                <c:pt idx="12">
                  <c:v>208853.19747955565</c:v>
                </c:pt>
                <c:pt idx="13">
                  <c:v>151693.29736459855</c:v>
                </c:pt>
              </c:numCache>
            </c:numRef>
          </c:val>
          <c:extLst>
            <c:ext xmlns:c16="http://schemas.microsoft.com/office/drawing/2014/chart" uri="{C3380CC4-5D6E-409C-BE32-E72D297353CC}">
              <c16:uniqueId val="{00000005-B218-40F0-B6C3-9D2FF74D373B}"/>
            </c:ext>
          </c:extLst>
        </c:ser>
        <c:ser>
          <c:idx val="4"/>
          <c:order val="4"/>
          <c:tx>
            <c:strRef>
              <c:f>'1880-2010 RPI adjusted'!$A$11</c:f>
              <c:strCache>
                <c:ptCount val="1"/>
                <c:pt idx="0">
                  <c:v>Catering/Events/Conferences Income</c:v>
                </c:pt>
              </c:strCache>
            </c:strRef>
          </c:tx>
          <c:spPr>
            <a:solidFill>
              <a:schemeClr val="accent5"/>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adjusted'!$B$11:$O$11</c:f>
              <c:numCache>
                <c:formatCode>_(* #,##0.00_);_(* \(#,##0.00\);_(* "-"??_);_(@_)</c:formatCode>
                <c:ptCount val="14"/>
                <c:pt idx="0">
                  <c:v>0</c:v>
                </c:pt>
                <c:pt idx="1">
                  <c:v>0</c:v>
                </c:pt>
                <c:pt idx="2">
                  <c:v>0</c:v>
                </c:pt>
                <c:pt idx="3">
                  <c:v>0</c:v>
                </c:pt>
                <c:pt idx="4">
                  <c:v>0</c:v>
                </c:pt>
                <c:pt idx="5">
                  <c:v>0</c:v>
                </c:pt>
                <c:pt idx="6">
                  <c:v>0</c:v>
                </c:pt>
                <c:pt idx="7">
                  <c:v>0</c:v>
                </c:pt>
                <c:pt idx="8">
                  <c:v>0</c:v>
                </c:pt>
                <c:pt idx="9">
                  <c:v>13709</c:v>
                </c:pt>
                <c:pt idx="10">
                  <c:v>20223.490654205591</c:v>
                </c:pt>
                <c:pt idx="11">
                  <c:v>6733.0679782188472</c:v>
                </c:pt>
                <c:pt idx="12">
                  <c:v>97339.321624883043</c:v>
                </c:pt>
                <c:pt idx="13">
                  <c:v>330125.75223075342</c:v>
                </c:pt>
              </c:numCache>
            </c:numRef>
          </c:val>
          <c:extLst>
            <c:ext xmlns:c16="http://schemas.microsoft.com/office/drawing/2014/chart" uri="{C3380CC4-5D6E-409C-BE32-E72D297353CC}">
              <c16:uniqueId val="{00000006-B218-40F0-B6C3-9D2FF74D373B}"/>
            </c:ext>
          </c:extLst>
        </c:ser>
        <c:dLbls>
          <c:showLegendKey val="0"/>
          <c:showVal val="0"/>
          <c:showCatName val="0"/>
          <c:showSerName val="0"/>
          <c:showPercent val="0"/>
          <c:showBubbleSize val="0"/>
        </c:dLbls>
        <c:gapWidth val="219"/>
        <c:overlap val="-27"/>
        <c:axId val="213612704"/>
        <c:axId val="213613264"/>
      </c:barChart>
      <c:catAx>
        <c:axId val="21361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13264"/>
        <c:crosses val="autoZero"/>
        <c:auto val="1"/>
        <c:lblAlgn val="ctr"/>
        <c:lblOffset val="100"/>
        <c:noMultiLvlLbl val="0"/>
      </c:catAx>
      <c:valAx>
        <c:axId val="21361326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12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Key items of RS Expenditure, 1880-2010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'1880-2010 RPI adjusted'!$A$17</c:f>
              <c:strCache>
                <c:ptCount val="1"/>
                <c:pt idx="0">
                  <c:v>Establishment Expenses</c:v>
                </c:pt>
              </c:strCache>
            </c:strRef>
          </c:tx>
          <c:spPr>
            <a:solidFill>
              <a:schemeClr val="accent1"/>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adjusted'!$B$17:$O$17</c:f>
              <c:numCache>
                <c:formatCode>_(* #,##0.00_);_(* \(#,##0.00\);_(* "-"??_);_(@_)</c:formatCode>
                <c:ptCount val="14"/>
                <c:pt idx="0">
                  <c:v>5538.527250000001</c:v>
                </c:pt>
                <c:pt idx="1">
                  <c:v>7857.3503333333338</c:v>
                </c:pt>
                <c:pt idx="2">
                  <c:v>10081.13403426791</c:v>
                </c:pt>
                <c:pt idx="3">
                  <c:v>13595.118535825542</c:v>
                </c:pt>
                <c:pt idx="4">
                  <c:v>7467.5032051282033</c:v>
                </c:pt>
                <c:pt idx="5">
                  <c:v>8218.156116584576</c:v>
                </c:pt>
                <c:pt idx="6">
                  <c:v>20539.363074712623</c:v>
                </c:pt>
                <c:pt idx="7">
                  <c:v>20794.609382871509</c:v>
                </c:pt>
                <c:pt idx="8">
                  <c:v>35323.342281879122</c:v>
                </c:pt>
                <c:pt idx="9">
                  <c:v>111334</c:v>
                </c:pt>
                <c:pt idx="10">
                  <c:v>67237.392523364426</c:v>
                </c:pt>
                <c:pt idx="11">
                  <c:v>149471.61356051252</c:v>
                </c:pt>
                <c:pt idx="12">
                  <c:v>72644.59042767153</c:v>
                </c:pt>
                <c:pt idx="13">
                  <c:v>118183.64805976349</c:v>
                </c:pt>
              </c:numCache>
            </c:numRef>
          </c:val>
          <c:extLst>
            <c:ext xmlns:c16="http://schemas.microsoft.com/office/drawing/2014/chart" uri="{C3380CC4-5D6E-409C-BE32-E72D297353CC}">
              <c16:uniqueId val="{00000000-2C66-4B32-8F57-5ACDDB3AC2E9}"/>
            </c:ext>
          </c:extLst>
        </c:ser>
        <c:ser>
          <c:idx val="1"/>
          <c:order val="1"/>
          <c:tx>
            <c:strRef>
              <c:f>'1880-2010 RPI adjusted'!$A$18</c:f>
              <c:strCache>
                <c:ptCount val="1"/>
                <c:pt idx="0">
                  <c:v>Salaries, stipends and pensions</c:v>
                </c:pt>
              </c:strCache>
            </c:strRef>
          </c:tx>
          <c:spPr>
            <a:solidFill>
              <a:schemeClr val="accent2"/>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adjusted'!$B$18:$O$18</c:f>
              <c:numCache>
                <c:formatCode>_(* #,##0.00_);_(* \(#,##0.00\);_(* "-"??_);_(@_)</c:formatCode>
                <c:ptCount val="14"/>
                <c:pt idx="0">
                  <c:v>9784.4957500000019</c:v>
                </c:pt>
                <c:pt idx="1">
                  <c:v>15765.288</c:v>
                </c:pt>
                <c:pt idx="2">
                  <c:v>16257.052102803736</c:v>
                </c:pt>
                <c:pt idx="3">
                  <c:v>19735.228504672894</c:v>
                </c:pt>
                <c:pt idx="4">
                  <c:v>13337.539994425859</c:v>
                </c:pt>
                <c:pt idx="5">
                  <c:v>22198.110262725808</c:v>
                </c:pt>
                <c:pt idx="6">
                  <c:v>20713.624748563197</c:v>
                </c:pt>
                <c:pt idx="7">
                  <c:v>25249.021137699379</c:v>
                </c:pt>
                <c:pt idx="8">
                  <c:v>88675.993288590413</c:v>
                </c:pt>
                <c:pt idx="9">
                  <c:v>205196</c:v>
                </c:pt>
                <c:pt idx="10">
                  <c:v>198660.16822429889</c:v>
                </c:pt>
                <c:pt idx="11">
                  <c:v>223667.24855085133</c:v>
                </c:pt>
                <c:pt idx="12">
                  <c:v>338085.26612146525</c:v>
                </c:pt>
                <c:pt idx="13">
                  <c:v>585690.39219755167</c:v>
                </c:pt>
              </c:numCache>
            </c:numRef>
          </c:val>
          <c:extLst>
            <c:ext xmlns:c16="http://schemas.microsoft.com/office/drawing/2014/chart" uri="{C3380CC4-5D6E-409C-BE32-E72D297353CC}">
              <c16:uniqueId val="{00000001-2C66-4B32-8F57-5ACDDB3AC2E9}"/>
            </c:ext>
          </c:extLst>
        </c:ser>
        <c:ser>
          <c:idx val="2"/>
          <c:order val="2"/>
          <c:tx>
            <c:strRef>
              <c:f>'1880-2010 RPI adjusted'!$A$34</c:f>
              <c:strCache>
                <c:ptCount val="1"/>
                <c:pt idx="0">
                  <c:v>Publication Costs</c:v>
                </c:pt>
              </c:strCache>
            </c:strRef>
          </c:tx>
          <c:spPr>
            <a:solidFill>
              <a:schemeClr val="accent3"/>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adjusted'!$B$34:$O$34</c:f>
              <c:numCache>
                <c:formatCode>_(* #,##0.00_);_(* \(#,##0.00\);_(* "-"??_);_(@_)</c:formatCode>
                <c:ptCount val="14"/>
                <c:pt idx="0">
                  <c:v>19053.127916666665</c:v>
                </c:pt>
                <c:pt idx="1">
                  <c:v>19727.338833333335</c:v>
                </c:pt>
                <c:pt idx="2">
                  <c:v>16923.942990654203</c:v>
                </c:pt>
                <c:pt idx="3">
                  <c:v>21511.715887850463</c:v>
                </c:pt>
                <c:pt idx="4">
                  <c:v>18422.627675585278</c:v>
                </c:pt>
                <c:pt idx="5">
                  <c:v>41073.473070607608</c:v>
                </c:pt>
                <c:pt idx="6">
                  <c:v>36468.847665229849</c:v>
                </c:pt>
                <c:pt idx="7">
                  <c:v>43668.869143576769</c:v>
                </c:pt>
                <c:pt idx="8">
                  <c:v>117573.21140939572</c:v>
                </c:pt>
                <c:pt idx="9">
                  <c:v>124783</c:v>
                </c:pt>
                <c:pt idx="10">
                  <c:v>156484.26635514005</c:v>
                </c:pt>
                <c:pt idx="11">
                  <c:v>176266.77498682545</c:v>
                </c:pt>
                <c:pt idx="12">
                  <c:v>169651.69593779388</c:v>
                </c:pt>
                <c:pt idx="13">
                  <c:v>255736.04482257742</c:v>
                </c:pt>
              </c:numCache>
            </c:numRef>
          </c:val>
          <c:extLst>
            <c:ext xmlns:c16="http://schemas.microsoft.com/office/drawing/2014/chart" uri="{C3380CC4-5D6E-409C-BE32-E72D297353CC}">
              <c16:uniqueId val="{00000002-2C66-4B32-8F57-5ACDDB3AC2E9}"/>
            </c:ext>
          </c:extLst>
        </c:ser>
        <c:dLbls>
          <c:showLegendKey val="0"/>
          <c:showVal val="0"/>
          <c:showCatName val="0"/>
          <c:showSerName val="0"/>
          <c:showPercent val="0"/>
          <c:showBubbleSize val="0"/>
        </c:dLbls>
        <c:gapWidth val="219"/>
        <c:overlap val="-27"/>
        <c:axId val="213617184"/>
        <c:axId val="213617744"/>
      </c:barChart>
      <c:catAx>
        <c:axId val="21361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17744"/>
        <c:crosses val="autoZero"/>
        <c:auto val="1"/>
        <c:lblAlgn val="ctr"/>
        <c:lblOffset val="100"/>
        <c:noMultiLvlLbl val="0"/>
      </c:catAx>
      <c:valAx>
        <c:axId val="21361774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617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Royal Society Income from Investments and Rents, 1880-2010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'1880-2010 RPI adjusted'!$A$7</c:f>
              <c:strCache>
                <c:ptCount val="1"/>
                <c:pt idx="0">
                  <c:v>Investments &amp; Rents</c:v>
                </c:pt>
              </c:strCache>
            </c:strRef>
          </c:tx>
          <c:spPr>
            <a:solidFill>
              <a:schemeClr val="accent2"/>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adjusted'!$B$7:$O$7</c:f>
              <c:numCache>
                <c:formatCode>_(* #,##0.00_);_(* \(#,##0.00\);_(* "-"??_);_(@_)</c:formatCode>
                <c:ptCount val="14"/>
                <c:pt idx="0">
                  <c:v>17370.724916666666</c:v>
                </c:pt>
                <c:pt idx="1">
                  <c:v>29725.109583333335</c:v>
                </c:pt>
                <c:pt idx="2">
                  <c:v>28029.209657320866</c:v>
                </c:pt>
                <c:pt idx="3">
                  <c:v>29784.925545171332</c:v>
                </c:pt>
                <c:pt idx="4">
                  <c:v>15283.256716833885</c:v>
                </c:pt>
                <c:pt idx="5">
                  <c:v>25448.531116584596</c:v>
                </c:pt>
                <c:pt idx="6">
                  <c:v>17513.241774425271</c:v>
                </c:pt>
                <c:pt idx="7">
                  <c:v>13152.589798488649</c:v>
                </c:pt>
                <c:pt idx="8">
                  <c:v>23887.402684563705</c:v>
                </c:pt>
                <c:pt idx="9">
                  <c:v>38728</c:v>
                </c:pt>
                <c:pt idx="10">
                  <c:v>88725.247663551316</c:v>
                </c:pt>
                <c:pt idx="11">
                  <c:v>85677.513788863289</c:v>
                </c:pt>
                <c:pt idx="12">
                  <c:v>74527.148411315458</c:v>
                </c:pt>
                <c:pt idx="13">
                  <c:v>93244.241543888813</c:v>
                </c:pt>
              </c:numCache>
            </c:numRef>
          </c:val>
          <c:extLst>
            <c:ext xmlns:c16="http://schemas.microsoft.com/office/drawing/2014/chart" uri="{C3380CC4-5D6E-409C-BE32-E72D297353CC}">
              <c16:uniqueId val="{00000000-F06C-4800-9416-0BF5BA05DB34}"/>
            </c:ext>
          </c:extLst>
        </c:ser>
        <c:dLbls>
          <c:showLegendKey val="0"/>
          <c:showVal val="0"/>
          <c:showCatName val="0"/>
          <c:showSerName val="0"/>
          <c:showPercent val="0"/>
          <c:showBubbleSize val="0"/>
        </c:dLbls>
        <c:gapWidth val="219"/>
        <c:overlap val="-27"/>
        <c:axId val="217260880"/>
        <c:axId val="217261440"/>
        <c:extLst>
          <c:ext xmlns:c15="http://schemas.microsoft.com/office/drawing/2012/chart" uri="{02D57815-91ED-43cb-92C2-25804820EDAC}">
            <c15:filteredBarSeries>
              <c15:ser>
                <c:idx val="0"/>
                <c:order val="0"/>
                <c:tx>
                  <c:strRef>
                    <c:extLst>
                      <c:ext uri="{02D57815-91ED-43cb-92C2-25804820EDAC}">
                        <c15:formulaRef>
                          <c15:sqref>'1880-2010 RPI adjusted'!$A$6</c15:sqref>
                        </c15:formulaRef>
                      </c:ext>
                    </c:extLst>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2-F06C-4800-9416-0BF5BA05DB34}"/>
                    </c:ext>
                  </c:extLst>
                </c:dPt>
                <c:cat>
                  <c:numRef>
                    <c:extLst>
                      <c:ex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c:ext uri="{02D57815-91ED-43cb-92C2-25804820EDAC}">
                        <c15:formulaRef>
                          <c15:sqref>'1880-2010 RPI adjusted'!$B$6:$F$6</c15:sqref>
                        </c15:formulaRef>
                      </c:ext>
                    </c:extLst>
                    <c:numCache>
                      <c:formatCode>_(* #,##0.00_);_(* \(#,##0.00\);_(* "-"??_);_(@_)</c:formatCode>
                      <c:ptCount val="5"/>
                      <c:pt idx="0">
                        <c:v>13245.5</c:v>
                      </c:pt>
                      <c:pt idx="1">
                        <c:v>13703.480000000001</c:v>
                      </c:pt>
                      <c:pt idx="2">
                        <c:v>13008.411214953268</c:v>
                      </c:pt>
                      <c:pt idx="3">
                        <c:v>14495.951012461057</c:v>
                      </c:pt>
                      <c:pt idx="4">
                        <c:v>5056.3056298773672</c:v>
                      </c:pt>
                    </c:numCache>
                  </c:numRef>
                </c:val>
                <c:extLst>
                  <c:ext xmlns:c16="http://schemas.microsoft.com/office/drawing/2014/chart" uri="{C3380CC4-5D6E-409C-BE32-E72D297353CC}">
                    <c16:uniqueId val="{00000003-F06C-4800-9416-0BF5BA05DB3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'1880-2010 RPI adjusted'!$A$30</c15:sqref>
                        </c15:formulaRef>
                      </c:ext>
                    </c:extLst>
                    <c:strCache>
                      <c:ptCount val="1"/>
                      <c:pt idx="0">
                        <c:v>Publication Sales</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RPI adjusted'!$B$30:$F$30</c15:sqref>
                        </c15:formulaRef>
                      </c:ext>
                    </c:extLst>
                    <c:numCache>
                      <c:formatCode>_(* #,##0.00_);_(* \(#,##0.00\);_(* "-"??_);_(@_)</c:formatCode>
                      <c:ptCount val="5"/>
                      <c:pt idx="0">
                        <c:v>7090.3835000000008</c:v>
                      </c:pt>
                      <c:pt idx="1">
                        <c:v>5919.3914999999997</c:v>
                      </c:pt>
                      <c:pt idx="2">
                        <c:v>5944.4242990654193</c:v>
                      </c:pt>
                      <c:pt idx="3">
                        <c:v>8286.7775700934562</c:v>
                      </c:pt>
                      <c:pt idx="4">
                        <c:v>4057.8187290969881</c:v>
                      </c:pt>
                    </c:numCache>
                  </c:numRef>
                </c:val>
                <c:extLst>
                  <c:ext xmlns:c16="http://schemas.microsoft.com/office/drawing/2014/chart" uri="{C3380CC4-5D6E-409C-BE32-E72D297353CC}">
                    <c16:uniqueId val="{00000004-F06C-4800-9416-0BF5BA05DB34}"/>
                  </c:ext>
                </c:extLst>
              </c15:ser>
            </c15:filteredBarSeries>
          </c:ext>
        </c:extLst>
      </c:barChart>
      <c:catAx>
        <c:axId val="21726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261440"/>
        <c:crosses val="autoZero"/>
        <c:auto val="1"/>
        <c:lblAlgn val="ctr"/>
        <c:lblOffset val="100"/>
        <c:noMultiLvlLbl val="0"/>
      </c:catAx>
      <c:valAx>
        <c:axId val="21726144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260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Royal Society Income from Membership fees, 1880-2010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'1880-2010 RPI adjusted'!$A$6</c:f>
              <c:strCache>
                <c:ptCount val="1"/>
                <c:pt idx="0">
                  <c:v>Fees</c:v>
                </c:pt>
              </c:strCache>
            </c:strRef>
          </c:tx>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0080-4C87-A5CA-0585BCD83C57}"/>
              </c:ext>
            </c:extLst>
          </c:dPt>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adjusted'!$B$6:$O$6</c:f>
              <c:numCache>
                <c:formatCode>_(* #,##0.00_);_(* \(#,##0.00\);_(* "-"??_);_(@_)</c:formatCode>
                <c:ptCount val="14"/>
                <c:pt idx="0">
                  <c:v>13245.5</c:v>
                </c:pt>
                <c:pt idx="1">
                  <c:v>13703.480000000001</c:v>
                </c:pt>
                <c:pt idx="2">
                  <c:v>13008.411214953268</c:v>
                </c:pt>
                <c:pt idx="3">
                  <c:v>14495.951012461057</c:v>
                </c:pt>
                <c:pt idx="4">
                  <c:v>5056.3056298773672</c:v>
                </c:pt>
                <c:pt idx="5">
                  <c:v>9378.1280788177464</c:v>
                </c:pt>
                <c:pt idx="6">
                  <c:v>8554.2241379310271</c:v>
                </c:pt>
                <c:pt idx="7">
                  <c:v>5722.7707808564155</c:v>
                </c:pt>
                <c:pt idx="8">
                  <c:v>4904.3456375838923</c:v>
                </c:pt>
                <c:pt idx="9">
                  <c:v>6340</c:v>
                </c:pt>
                <c:pt idx="10">
                  <c:v>4504.9532710280337</c:v>
                </c:pt>
                <c:pt idx="11">
                  <c:v>8393.3381345511807</c:v>
                </c:pt>
                <c:pt idx="12">
                  <c:v>16167.850918353726</c:v>
                </c:pt>
                <c:pt idx="13">
                  <c:v>17397.59286158955</c:v>
                </c:pt>
              </c:numCache>
            </c:numRef>
          </c:val>
          <c:extLst>
            <c:ext xmlns:c16="http://schemas.microsoft.com/office/drawing/2014/chart" uri="{C3380CC4-5D6E-409C-BE32-E72D297353CC}">
              <c16:uniqueId val="{00000002-0080-4C87-A5CA-0585BCD83C57}"/>
            </c:ext>
          </c:extLst>
        </c:ser>
        <c:dLbls>
          <c:showLegendKey val="0"/>
          <c:showVal val="0"/>
          <c:showCatName val="0"/>
          <c:showSerName val="0"/>
          <c:showPercent val="0"/>
          <c:showBubbleSize val="0"/>
        </c:dLbls>
        <c:gapWidth val="219"/>
        <c:overlap val="-27"/>
        <c:axId val="217265360"/>
        <c:axId val="217265920"/>
        <c:extLst>
          <c:ext xmlns:c15="http://schemas.microsoft.com/office/drawing/2012/chart" uri="{02D57815-91ED-43cb-92C2-25804820EDAC}">
            <c15:filteredBarSeries>
              <c15:ser>
                <c:idx val="1"/>
                <c:order val="1"/>
                <c:tx>
                  <c:strRef>
                    <c:extLst>
                      <c:ext uri="{02D57815-91ED-43cb-92C2-25804820EDAC}">
                        <c15:formulaRef>
                          <c15:sqref>'1880-2010 RPI adjusted'!$A$7</c15:sqref>
                        </c15:formulaRef>
                      </c:ext>
                    </c:extLst>
                    <c:strCache>
                      <c:ptCount val="1"/>
                      <c:pt idx="0">
                        <c:v>Investments &amp; Rents</c:v>
                      </c:pt>
                    </c:strCache>
                  </c:strRef>
                </c:tx>
                <c:spPr>
                  <a:solidFill>
                    <a:schemeClr val="accent2"/>
                  </a:solidFill>
                  <a:ln>
                    <a:noFill/>
                  </a:ln>
                  <a:effectLst/>
                </c:spPr>
                <c:invertIfNegative val="0"/>
                <c:cat>
                  <c:numRef>
                    <c:extLst>
                      <c:ex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c:ext uri="{02D57815-91ED-43cb-92C2-25804820EDAC}">
                        <c15:formulaRef>
                          <c15:sqref>'1880-2010 RPI adjusted'!$B$7:$F$7</c15:sqref>
                        </c15:formulaRef>
                      </c:ext>
                    </c:extLst>
                    <c:numCache>
                      <c:formatCode>_(* #,##0.00_);_(* \(#,##0.00\);_(* "-"??_);_(@_)</c:formatCode>
                      <c:ptCount val="5"/>
                      <c:pt idx="0">
                        <c:v>17370.724916666666</c:v>
                      </c:pt>
                      <c:pt idx="1">
                        <c:v>29725.109583333335</c:v>
                      </c:pt>
                      <c:pt idx="2">
                        <c:v>28029.209657320866</c:v>
                      </c:pt>
                      <c:pt idx="3">
                        <c:v>29784.925545171332</c:v>
                      </c:pt>
                      <c:pt idx="4">
                        <c:v>15283.256716833885</c:v>
                      </c:pt>
                    </c:numCache>
                  </c:numRef>
                </c:val>
                <c:extLst>
                  <c:ext xmlns:c16="http://schemas.microsoft.com/office/drawing/2014/chart" uri="{C3380CC4-5D6E-409C-BE32-E72D297353CC}">
                    <c16:uniqueId val="{00000003-0080-4C87-A5CA-0585BCD83C57}"/>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'1880-2010 RPI adjusted'!$A$30</c15:sqref>
                        </c15:formulaRef>
                      </c:ext>
                    </c:extLst>
                    <c:strCache>
                      <c:ptCount val="1"/>
                      <c:pt idx="0">
                        <c:v>Publication Sales</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RPI adjusted'!$B$30:$F$30</c15:sqref>
                        </c15:formulaRef>
                      </c:ext>
                    </c:extLst>
                    <c:numCache>
                      <c:formatCode>_(* #,##0.00_);_(* \(#,##0.00\);_(* "-"??_);_(@_)</c:formatCode>
                      <c:ptCount val="5"/>
                      <c:pt idx="0">
                        <c:v>7090.3835000000008</c:v>
                      </c:pt>
                      <c:pt idx="1">
                        <c:v>5919.3914999999997</c:v>
                      </c:pt>
                      <c:pt idx="2">
                        <c:v>5944.4242990654193</c:v>
                      </c:pt>
                      <c:pt idx="3">
                        <c:v>8286.7775700934562</c:v>
                      </c:pt>
                      <c:pt idx="4">
                        <c:v>4057.8187290969881</c:v>
                      </c:pt>
                    </c:numCache>
                  </c:numRef>
                </c:val>
                <c:extLst>
                  <c:ext xmlns:c16="http://schemas.microsoft.com/office/drawing/2014/chart" uri="{C3380CC4-5D6E-409C-BE32-E72D297353CC}">
                    <c16:uniqueId val="{00000004-0080-4C87-A5CA-0585BCD83C57}"/>
                  </c:ext>
                </c:extLst>
              </c15:ser>
            </c15:filteredBarSeries>
          </c:ext>
        </c:extLst>
      </c:barChart>
      <c:catAx>
        <c:axId val="21726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265920"/>
        <c:crosses val="autoZero"/>
        <c:auto val="1"/>
        <c:lblAlgn val="ctr"/>
        <c:lblOffset val="100"/>
        <c:noMultiLvlLbl val="0"/>
      </c:catAx>
      <c:valAx>
        <c:axId val="21726592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7265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Trends in main Royal</a:t>
            </a:r>
            <a:r>
              <a:rPr lang="en-GB" baseline="0"/>
              <a:t> </a:t>
            </a:r>
            <a:r>
              <a:rPr lang="en-GB"/>
              <a:t>Society income streams, 1880-2010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'1880-2010 RPI adjusted'!$A$6</c:f>
              <c:strCache>
                <c:ptCount val="1"/>
                <c:pt idx="0">
                  <c:v>Fees</c:v>
                </c:pt>
              </c:strCache>
            </c:strRef>
          </c:tx>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1318-4888-909E-E8B3C16C0090}"/>
              </c:ext>
            </c:extLst>
          </c:dPt>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adjusted'!$B$6:$O$6</c:f>
              <c:numCache>
                <c:formatCode>_(* #,##0.00_);_(* \(#,##0.00\);_(* "-"??_);_(@_)</c:formatCode>
                <c:ptCount val="14"/>
                <c:pt idx="0">
                  <c:v>13245.5</c:v>
                </c:pt>
                <c:pt idx="1">
                  <c:v>13703.480000000001</c:v>
                </c:pt>
                <c:pt idx="2">
                  <c:v>13008.411214953268</c:v>
                </c:pt>
                <c:pt idx="3">
                  <c:v>14495.951012461057</c:v>
                </c:pt>
                <c:pt idx="4">
                  <c:v>5056.3056298773672</c:v>
                </c:pt>
                <c:pt idx="5">
                  <c:v>9378.1280788177464</c:v>
                </c:pt>
                <c:pt idx="6">
                  <c:v>8554.2241379310271</c:v>
                </c:pt>
                <c:pt idx="7">
                  <c:v>5722.7707808564155</c:v>
                </c:pt>
                <c:pt idx="8">
                  <c:v>4904.3456375838923</c:v>
                </c:pt>
                <c:pt idx="9">
                  <c:v>6340</c:v>
                </c:pt>
                <c:pt idx="10">
                  <c:v>4504.9532710280337</c:v>
                </c:pt>
                <c:pt idx="11">
                  <c:v>8393.3381345511807</c:v>
                </c:pt>
                <c:pt idx="12">
                  <c:v>16167.850918353726</c:v>
                </c:pt>
                <c:pt idx="13">
                  <c:v>17397.59286158955</c:v>
                </c:pt>
              </c:numCache>
            </c:numRef>
          </c:val>
          <c:extLst>
            <c:ext xmlns:c16="http://schemas.microsoft.com/office/drawing/2014/chart" uri="{C3380CC4-5D6E-409C-BE32-E72D297353CC}">
              <c16:uniqueId val="{00000002-1318-4888-909E-E8B3C16C0090}"/>
            </c:ext>
          </c:extLst>
        </c:ser>
        <c:ser>
          <c:idx val="1"/>
          <c:order val="1"/>
          <c:tx>
            <c:strRef>
              <c:f>'1880-2010 RPI adjusted'!$A$7</c:f>
              <c:strCache>
                <c:ptCount val="1"/>
                <c:pt idx="0">
                  <c:v>Investments &amp; Rents</c:v>
                </c:pt>
              </c:strCache>
            </c:strRef>
          </c:tx>
          <c:spPr>
            <a:solidFill>
              <a:schemeClr val="accent2"/>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adjusted'!$B$7:$O$7</c:f>
              <c:numCache>
                <c:formatCode>_(* #,##0.00_);_(* \(#,##0.00\);_(* "-"??_);_(@_)</c:formatCode>
                <c:ptCount val="14"/>
                <c:pt idx="0">
                  <c:v>17370.724916666666</c:v>
                </c:pt>
                <c:pt idx="1">
                  <c:v>29725.109583333335</c:v>
                </c:pt>
                <c:pt idx="2">
                  <c:v>28029.209657320866</c:v>
                </c:pt>
                <c:pt idx="3">
                  <c:v>29784.925545171332</c:v>
                </c:pt>
                <c:pt idx="4">
                  <c:v>15283.256716833885</c:v>
                </c:pt>
                <c:pt idx="5">
                  <c:v>25448.531116584596</c:v>
                </c:pt>
                <c:pt idx="6">
                  <c:v>17513.241774425271</c:v>
                </c:pt>
                <c:pt idx="7">
                  <c:v>13152.589798488649</c:v>
                </c:pt>
                <c:pt idx="8">
                  <c:v>23887.402684563705</c:v>
                </c:pt>
                <c:pt idx="9">
                  <c:v>38728</c:v>
                </c:pt>
                <c:pt idx="10">
                  <c:v>88725.247663551316</c:v>
                </c:pt>
                <c:pt idx="11">
                  <c:v>85677.513788863289</c:v>
                </c:pt>
                <c:pt idx="12">
                  <c:v>74527.148411315458</c:v>
                </c:pt>
                <c:pt idx="13">
                  <c:v>93244.241543888813</c:v>
                </c:pt>
              </c:numCache>
            </c:numRef>
          </c:val>
          <c:extLst>
            <c:ext xmlns:c16="http://schemas.microsoft.com/office/drawing/2014/chart" uri="{C3380CC4-5D6E-409C-BE32-E72D297353CC}">
              <c16:uniqueId val="{00000003-1318-4888-909E-E8B3C16C0090}"/>
            </c:ext>
          </c:extLst>
        </c:ser>
        <c:ser>
          <c:idx val="2"/>
          <c:order val="2"/>
          <c:tx>
            <c:strRef>
              <c:f>'1880-2010 RPI adjusted'!$A$30</c:f>
              <c:strCache>
                <c:ptCount val="1"/>
                <c:pt idx="0">
                  <c:v>Publication Sales</c:v>
                </c:pt>
              </c:strCache>
            </c:strRef>
          </c:tx>
          <c:spPr>
            <a:solidFill>
              <a:schemeClr val="accent3"/>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adjusted'!$B$30:$O$30</c:f>
              <c:numCache>
                <c:formatCode>_(* #,##0.00_);_(* \(#,##0.00\);_(* "-"??_);_(@_)</c:formatCode>
                <c:ptCount val="14"/>
                <c:pt idx="0">
                  <c:v>7090.3835000000008</c:v>
                </c:pt>
                <c:pt idx="1">
                  <c:v>5919.3914999999997</c:v>
                </c:pt>
                <c:pt idx="2">
                  <c:v>5944.4242990654193</c:v>
                </c:pt>
                <c:pt idx="3">
                  <c:v>8286.7775700934562</c:v>
                </c:pt>
                <c:pt idx="4">
                  <c:v>4057.8187290969881</c:v>
                </c:pt>
                <c:pt idx="5">
                  <c:v>22130.668103448304</c:v>
                </c:pt>
                <c:pt idx="6">
                  <c:v>22978.558800287334</c:v>
                </c:pt>
                <c:pt idx="7">
                  <c:v>37128.011691855529</c:v>
                </c:pt>
                <c:pt idx="8">
                  <c:v>119058.82885906014</c:v>
                </c:pt>
                <c:pt idx="9">
                  <c:v>203362</c:v>
                </c:pt>
                <c:pt idx="10">
                  <c:v>209014.94392523347</c:v>
                </c:pt>
                <c:pt idx="11">
                  <c:v>186304.85859827808</c:v>
                </c:pt>
                <c:pt idx="12">
                  <c:v>196339.72382356957</c:v>
                </c:pt>
                <c:pt idx="13">
                  <c:v>377604.89728159388</c:v>
                </c:pt>
              </c:numCache>
            </c:numRef>
          </c:val>
          <c:extLst>
            <c:ext xmlns:c16="http://schemas.microsoft.com/office/drawing/2014/chart" uri="{C3380CC4-5D6E-409C-BE32-E72D297353CC}">
              <c16:uniqueId val="{00000004-1318-4888-909E-E8B3C16C0090}"/>
            </c:ext>
          </c:extLst>
        </c:ser>
        <c:ser>
          <c:idx val="3"/>
          <c:order val="3"/>
          <c:tx>
            <c:strRef>
              <c:f>'1880-2010 RPI adjusted'!$A$10</c:f>
              <c:strCache>
                <c:ptCount val="1"/>
                <c:pt idx="0">
                  <c:v>Administration Charges (grants)</c:v>
                </c:pt>
              </c:strCache>
            </c:strRef>
          </c:tx>
          <c:spPr>
            <a:solidFill>
              <a:schemeClr val="accent4"/>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adjusted'!$B$10:$O$10</c:f>
              <c:numCache>
                <c:formatCode>_(* #,##0.00_);_(* \(#,##0.00\);_(* "-"??_);_(@_)</c:formatCode>
                <c:ptCount val="14"/>
                <c:pt idx="0">
                  <c:v>0</c:v>
                </c:pt>
                <c:pt idx="1">
                  <c:v>0</c:v>
                </c:pt>
                <c:pt idx="2">
                  <c:v>0</c:v>
                </c:pt>
                <c:pt idx="3">
                  <c:v>0</c:v>
                </c:pt>
                <c:pt idx="4">
                  <c:v>0</c:v>
                </c:pt>
                <c:pt idx="5">
                  <c:v>0</c:v>
                </c:pt>
                <c:pt idx="6">
                  <c:v>8968.5169540229799</c:v>
                </c:pt>
                <c:pt idx="7">
                  <c:v>14894.604240134322</c:v>
                </c:pt>
                <c:pt idx="8">
                  <c:v>38181.573825503277</c:v>
                </c:pt>
                <c:pt idx="9">
                  <c:v>58879</c:v>
                </c:pt>
                <c:pt idx="10">
                  <c:v>122464.42523364475</c:v>
                </c:pt>
                <c:pt idx="11">
                  <c:v>196511.24714561689</c:v>
                </c:pt>
                <c:pt idx="12">
                  <c:v>208853.19747955565</c:v>
                </c:pt>
                <c:pt idx="13">
                  <c:v>151693.29736459855</c:v>
                </c:pt>
              </c:numCache>
            </c:numRef>
          </c:val>
          <c:extLst>
            <c:ext xmlns:c16="http://schemas.microsoft.com/office/drawing/2014/chart" uri="{C3380CC4-5D6E-409C-BE32-E72D297353CC}">
              <c16:uniqueId val="{00000005-1318-4888-909E-E8B3C16C0090}"/>
            </c:ext>
          </c:extLst>
        </c:ser>
        <c:ser>
          <c:idx val="4"/>
          <c:order val="4"/>
          <c:tx>
            <c:strRef>
              <c:f>'1880-2010 RPI adjusted'!$A$11</c:f>
              <c:strCache>
                <c:ptCount val="1"/>
                <c:pt idx="0">
                  <c:v>Catering/Events/Conferences Income</c:v>
                </c:pt>
              </c:strCache>
            </c:strRef>
          </c:tx>
          <c:spPr>
            <a:solidFill>
              <a:schemeClr val="accent5"/>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adjusted'!$B$11:$O$11</c:f>
              <c:numCache>
                <c:formatCode>_(* #,##0.00_);_(* \(#,##0.00\);_(* "-"??_);_(@_)</c:formatCode>
                <c:ptCount val="14"/>
                <c:pt idx="0">
                  <c:v>0</c:v>
                </c:pt>
                <c:pt idx="1">
                  <c:v>0</c:v>
                </c:pt>
                <c:pt idx="2">
                  <c:v>0</c:v>
                </c:pt>
                <c:pt idx="3">
                  <c:v>0</c:v>
                </c:pt>
                <c:pt idx="4">
                  <c:v>0</c:v>
                </c:pt>
                <c:pt idx="5">
                  <c:v>0</c:v>
                </c:pt>
                <c:pt idx="6">
                  <c:v>0</c:v>
                </c:pt>
                <c:pt idx="7">
                  <c:v>0</c:v>
                </c:pt>
                <c:pt idx="8">
                  <c:v>0</c:v>
                </c:pt>
                <c:pt idx="9">
                  <c:v>13709</c:v>
                </c:pt>
                <c:pt idx="10">
                  <c:v>20223.490654205591</c:v>
                </c:pt>
                <c:pt idx="11">
                  <c:v>6733.0679782188472</c:v>
                </c:pt>
                <c:pt idx="12">
                  <c:v>97339.321624883043</c:v>
                </c:pt>
                <c:pt idx="13">
                  <c:v>330125.75223075342</c:v>
                </c:pt>
              </c:numCache>
            </c:numRef>
          </c:val>
          <c:extLst>
            <c:ext xmlns:c16="http://schemas.microsoft.com/office/drawing/2014/chart" uri="{C3380CC4-5D6E-409C-BE32-E72D297353CC}">
              <c16:uniqueId val="{00000006-1318-4888-909E-E8B3C16C0090}"/>
            </c:ext>
          </c:extLst>
        </c:ser>
        <c:dLbls>
          <c:showLegendKey val="0"/>
          <c:showVal val="0"/>
          <c:showCatName val="0"/>
          <c:showSerName val="0"/>
          <c:showPercent val="0"/>
          <c:showBubbleSize val="0"/>
        </c:dLbls>
        <c:gapWidth val="219"/>
        <c:overlap val="100"/>
        <c:axId val="216233616"/>
        <c:axId val="216234176"/>
      </c:barChart>
      <c:catAx>
        <c:axId val="21623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234176"/>
        <c:crosses val="autoZero"/>
        <c:auto val="1"/>
        <c:lblAlgn val="ctr"/>
        <c:lblOffset val="100"/>
        <c:noMultiLvlLbl val="0"/>
      </c:catAx>
      <c:valAx>
        <c:axId val="21623417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233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Trends in major categories of Royal Society expenditure, 1880-2010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'1880-2010 RPI adjusted'!$A$17</c:f>
              <c:strCache>
                <c:ptCount val="1"/>
                <c:pt idx="0">
                  <c:v>Establishment Expenses</c:v>
                </c:pt>
              </c:strCache>
            </c:strRef>
          </c:tx>
          <c:spPr>
            <a:solidFill>
              <a:schemeClr val="accent1"/>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adjusted'!$B$17:$O$17</c:f>
              <c:numCache>
                <c:formatCode>_(* #,##0.00_);_(* \(#,##0.00\);_(* "-"??_);_(@_)</c:formatCode>
                <c:ptCount val="14"/>
                <c:pt idx="0">
                  <c:v>5538.527250000001</c:v>
                </c:pt>
                <c:pt idx="1">
                  <c:v>7857.3503333333338</c:v>
                </c:pt>
                <c:pt idx="2">
                  <c:v>10081.13403426791</c:v>
                </c:pt>
                <c:pt idx="3">
                  <c:v>13595.118535825542</c:v>
                </c:pt>
                <c:pt idx="4">
                  <c:v>7467.5032051282033</c:v>
                </c:pt>
                <c:pt idx="5">
                  <c:v>8218.156116584576</c:v>
                </c:pt>
                <c:pt idx="6">
                  <c:v>20539.363074712623</c:v>
                </c:pt>
                <c:pt idx="7">
                  <c:v>20794.609382871509</c:v>
                </c:pt>
                <c:pt idx="8">
                  <c:v>35323.342281879122</c:v>
                </c:pt>
                <c:pt idx="9">
                  <c:v>111334</c:v>
                </c:pt>
                <c:pt idx="10">
                  <c:v>67237.392523364426</c:v>
                </c:pt>
                <c:pt idx="11">
                  <c:v>149471.61356051252</c:v>
                </c:pt>
                <c:pt idx="12">
                  <c:v>72644.59042767153</c:v>
                </c:pt>
                <c:pt idx="13">
                  <c:v>118183.64805976349</c:v>
                </c:pt>
              </c:numCache>
            </c:numRef>
          </c:val>
          <c:extLst>
            <c:ext xmlns:c16="http://schemas.microsoft.com/office/drawing/2014/chart" uri="{C3380CC4-5D6E-409C-BE32-E72D297353CC}">
              <c16:uniqueId val="{00000000-AC12-43F4-BF6B-3E54139DAC85}"/>
            </c:ext>
          </c:extLst>
        </c:ser>
        <c:ser>
          <c:idx val="1"/>
          <c:order val="1"/>
          <c:tx>
            <c:strRef>
              <c:f>'1880-2010 RPI adjusted'!$A$18</c:f>
              <c:strCache>
                <c:ptCount val="1"/>
                <c:pt idx="0">
                  <c:v>Salaries, stipends and pensions</c:v>
                </c:pt>
              </c:strCache>
            </c:strRef>
          </c:tx>
          <c:spPr>
            <a:solidFill>
              <a:schemeClr val="accent2"/>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adjusted'!$B$18:$O$18</c:f>
              <c:numCache>
                <c:formatCode>_(* #,##0.00_);_(* \(#,##0.00\);_(* "-"??_);_(@_)</c:formatCode>
                <c:ptCount val="14"/>
                <c:pt idx="0">
                  <c:v>9784.4957500000019</c:v>
                </c:pt>
                <c:pt idx="1">
                  <c:v>15765.288</c:v>
                </c:pt>
                <c:pt idx="2">
                  <c:v>16257.052102803736</c:v>
                </c:pt>
                <c:pt idx="3">
                  <c:v>19735.228504672894</c:v>
                </c:pt>
                <c:pt idx="4">
                  <c:v>13337.539994425859</c:v>
                </c:pt>
                <c:pt idx="5">
                  <c:v>22198.110262725808</c:v>
                </c:pt>
                <c:pt idx="6">
                  <c:v>20713.624748563197</c:v>
                </c:pt>
                <c:pt idx="7">
                  <c:v>25249.021137699379</c:v>
                </c:pt>
                <c:pt idx="8">
                  <c:v>88675.993288590413</c:v>
                </c:pt>
                <c:pt idx="9">
                  <c:v>205196</c:v>
                </c:pt>
                <c:pt idx="10">
                  <c:v>198660.16822429889</c:v>
                </c:pt>
                <c:pt idx="11">
                  <c:v>223667.24855085133</c:v>
                </c:pt>
                <c:pt idx="12">
                  <c:v>338085.26612146525</c:v>
                </c:pt>
                <c:pt idx="13">
                  <c:v>585690.39219755167</c:v>
                </c:pt>
              </c:numCache>
            </c:numRef>
          </c:val>
          <c:extLst>
            <c:ext xmlns:c16="http://schemas.microsoft.com/office/drawing/2014/chart" uri="{C3380CC4-5D6E-409C-BE32-E72D297353CC}">
              <c16:uniqueId val="{00000001-AC12-43F4-BF6B-3E54139DAC85}"/>
            </c:ext>
          </c:extLst>
        </c:ser>
        <c:ser>
          <c:idx val="2"/>
          <c:order val="2"/>
          <c:tx>
            <c:strRef>
              <c:f>'1880-2010 RPI adjusted'!$A$34</c:f>
              <c:strCache>
                <c:ptCount val="1"/>
                <c:pt idx="0">
                  <c:v>Publication Costs</c:v>
                </c:pt>
              </c:strCache>
            </c:strRef>
          </c:tx>
          <c:spPr>
            <a:solidFill>
              <a:schemeClr val="accent3"/>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adjusted'!$B$34:$O$34</c:f>
              <c:numCache>
                <c:formatCode>_(* #,##0.00_);_(* \(#,##0.00\);_(* "-"??_);_(@_)</c:formatCode>
                <c:ptCount val="14"/>
                <c:pt idx="0">
                  <c:v>19053.127916666665</c:v>
                </c:pt>
                <c:pt idx="1">
                  <c:v>19727.338833333335</c:v>
                </c:pt>
                <c:pt idx="2">
                  <c:v>16923.942990654203</c:v>
                </c:pt>
                <c:pt idx="3">
                  <c:v>21511.715887850463</c:v>
                </c:pt>
                <c:pt idx="4">
                  <c:v>18422.627675585278</c:v>
                </c:pt>
                <c:pt idx="5">
                  <c:v>41073.473070607608</c:v>
                </c:pt>
                <c:pt idx="6">
                  <c:v>36468.847665229849</c:v>
                </c:pt>
                <c:pt idx="7">
                  <c:v>43668.869143576769</c:v>
                </c:pt>
                <c:pt idx="8">
                  <c:v>117573.21140939572</c:v>
                </c:pt>
                <c:pt idx="9">
                  <c:v>124783</c:v>
                </c:pt>
                <c:pt idx="10">
                  <c:v>156484.26635514005</c:v>
                </c:pt>
                <c:pt idx="11">
                  <c:v>176266.77498682545</c:v>
                </c:pt>
                <c:pt idx="12">
                  <c:v>169651.69593779388</c:v>
                </c:pt>
                <c:pt idx="13">
                  <c:v>255736.04482257742</c:v>
                </c:pt>
              </c:numCache>
            </c:numRef>
          </c:val>
          <c:extLst>
            <c:ext xmlns:c16="http://schemas.microsoft.com/office/drawing/2014/chart" uri="{C3380CC4-5D6E-409C-BE32-E72D297353CC}">
              <c16:uniqueId val="{00000002-AC12-43F4-BF6B-3E54139DAC85}"/>
            </c:ext>
          </c:extLst>
        </c:ser>
        <c:dLbls>
          <c:showLegendKey val="0"/>
          <c:showVal val="0"/>
          <c:showCatName val="0"/>
          <c:showSerName val="0"/>
          <c:showPercent val="0"/>
          <c:showBubbleSize val="0"/>
        </c:dLbls>
        <c:gapWidth val="219"/>
        <c:overlap val="100"/>
        <c:axId val="296991008"/>
        <c:axId val="296991568"/>
      </c:barChart>
      <c:catAx>
        <c:axId val="29699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991568"/>
        <c:crosses val="autoZero"/>
        <c:auto val="1"/>
        <c:lblAlgn val="ctr"/>
        <c:lblOffset val="100"/>
        <c:noMultiLvlLbl val="0"/>
      </c:catAx>
      <c:valAx>
        <c:axId val="29699156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991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Publications</a:t>
            </a:r>
            <a:r>
              <a:rPr lang="en-GB" baseline="0"/>
              <a:t> </a:t>
            </a:r>
            <a:r>
              <a:rPr lang="en-GB"/>
              <a:t>Income, 1880-2010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'1880-2010 RPI adjusted'!$A$30</c:f>
              <c:strCache>
                <c:ptCount val="1"/>
                <c:pt idx="0">
                  <c:v>Publication Sales</c:v>
                </c:pt>
              </c:strCache>
            </c:strRef>
          </c:tx>
          <c:spPr>
            <a:solidFill>
              <a:schemeClr val="accent3"/>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adjusted'!$B$30:$O$30</c:f>
              <c:numCache>
                <c:formatCode>_(* #,##0.00_);_(* \(#,##0.00\);_(* "-"??_);_(@_)</c:formatCode>
                <c:ptCount val="14"/>
                <c:pt idx="0">
                  <c:v>7090.3835000000008</c:v>
                </c:pt>
                <c:pt idx="1">
                  <c:v>5919.3914999999997</c:v>
                </c:pt>
                <c:pt idx="2">
                  <c:v>5944.4242990654193</c:v>
                </c:pt>
                <c:pt idx="3">
                  <c:v>8286.7775700934562</c:v>
                </c:pt>
                <c:pt idx="4">
                  <c:v>4057.8187290969881</c:v>
                </c:pt>
                <c:pt idx="5">
                  <c:v>22130.668103448304</c:v>
                </c:pt>
                <c:pt idx="6">
                  <c:v>22978.558800287334</c:v>
                </c:pt>
                <c:pt idx="7">
                  <c:v>37128.011691855529</c:v>
                </c:pt>
                <c:pt idx="8">
                  <c:v>119058.82885906014</c:v>
                </c:pt>
                <c:pt idx="9">
                  <c:v>203362</c:v>
                </c:pt>
                <c:pt idx="10">
                  <c:v>209014.94392523347</c:v>
                </c:pt>
                <c:pt idx="11">
                  <c:v>186304.85859827808</c:v>
                </c:pt>
                <c:pt idx="12">
                  <c:v>196339.72382356957</c:v>
                </c:pt>
                <c:pt idx="13">
                  <c:v>377604.89728159388</c:v>
                </c:pt>
              </c:numCache>
            </c:numRef>
          </c:val>
          <c:extLst>
            <c:ext xmlns:c16="http://schemas.microsoft.com/office/drawing/2014/chart" uri="{C3380CC4-5D6E-409C-BE32-E72D297353CC}">
              <c16:uniqueId val="{00000000-7554-46F3-973A-579F09FD25AF}"/>
            </c:ext>
          </c:extLst>
        </c:ser>
        <c:dLbls>
          <c:showLegendKey val="0"/>
          <c:showVal val="0"/>
          <c:showCatName val="0"/>
          <c:showSerName val="0"/>
          <c:showPercent val="0"/>
          <c:showBubbleSize val="0"/>
        </c:dLbls>
        <c:gapWidth val="219"/>
        <c:overlap val="-27"/>
        <c:axId val="296996048"/>
        <c:axId val="296996608"/>
        <c:extLst>
          <c:ext xmlns:c15="http://schemas.microsoft.com/office/drawing/2012/chart" uri="{02D57815-91ED-43cb-92C2-25804820EDAC}">
            <c15:filteredBarSeries>
              <c15:ser>
                <c:idx val="0"/>
                <c:order val="0"/>
                <c:tx>
                  <c:strRef>
                    <c:extLst>
                      <c:ext uri="{02D57815-91ED-43cb-92C2-25804820EDAC}">
                        <c15:formulaRef>
                          <c15:sqref>'1880-2010 RPI adjusted'!$A$6</c15:sqref>
                        </c15:formulaRef>
                      </c:ext>
                    </c:extLst>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2-7554-46F3-973A-579F09FD25AF}"/>
                    </c:ext>
                  </c:extLst>
                </c:dPt>
                <c:cat>
                  <c:numRef>
                    <c:extLst>
                      <c:ex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c:ext uri="{02D57815-91ED-43cb-92C2-25804820EDAC}">
                        <c15:formulaRef>
                          <c15:sqref>'1880-2010 RPI adjusted'!$B$6:$O$6</c15:sqref>
                        </c15:formulaRef>
                      </c:ext>
                    </c:extLst>
                    <c:numCache>
                      <c:formatCode>_(* #,##0.00_);_(* \(#,##0.00\);_(* "-"??_);_(@_)</c:formatCode>
                      <c:ptCount val="14"/>
                      <c:pt idx="0">
                        <c:v>13245.5</c:v>
                      </c:pt>
                      <c:pt idx="1">
                        <c:v>13703.480000000001</c:v>
                      </c:pt>
                      <c:pt idx="2">
                        <c:v>13008.411214953268</c:v>
                      </c:pt>
                      <c:pt idx="3">
                        <c:v>14495.951012461057</c:v>
                      </c:pt>
                      <c:pt idx="4">
                        <c:v>5056.3056298773672</c:v>
                      </c:pt>
                      <c:pt idx="5">
                        <c:v>9378.1280788177464</c:v>
                      </c:pt>
                      <c:pt idx="6">
                        <c:v>8554.2241379310271</c:v>
                      </c:pt>
                      <c:pt idx="7">
                        <c:v>5722.7707808564155</c:v>
                      </c:pt>
                      <c:pt idx="8">
                        <c:v>4904.3456375838923</c:v>
                      </c:pt>
                      <c:pt idx="9">
                        <c:v>6340</c:v>
                      </c:pt>
                      <c:pt idx="10">
                        <c:v>4504.9532710280337</c:v>
                      </c:pt>
                      <c:pt idx="11">
                        <c:v>8393.3381345511807</c:v>
                      </c:pt>
                      <c:pt idx="12">
                        <c:v>16167.850918353726</c:v>
                      </c:pt>
                      <c:pt idx="13">
                        <c:v>17397.59286158955</c:v>
                      </c:pt>
                    </c:numCache>
                  </c:numRef>
                </c:val>
                <c:extLst>
                  <c:ext xmlns:c16="http://schemas.microsoft.com/office/drawing/2014/chart" uri="{C3380CC4-5D6E-409C-BE32-E72D297353CC}">
                    <c16:uniqueId val="{00000003-7554-46F3-973A-579F09FD25A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'1880-2010 RPI adjusted'!$A$7</c15:sqref>
                        </c15:formulaRef>
                      </c:ext>
                    </c:extLst>
                    <c:strCache>
                      <c:ptCount val="1"/>
                      <c:pt idx="0">
                        <c:v>Investments &amp; Rents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RPI adjusted'!$B$7:$O$7</c15:sqref>
                        </c15:formulaRef>
                      </c:ext>
                    </c:extLst>
                    <c:numCache>
                      <c:formatCode>_(* #,##0.00_);_(* \(#,##0.00\);_(* "-"??_);_(@_)</c:formatCode>
                      <c:ptCount val="14"/>
                      <c:pt idx="0">
                        <c:v>17370.724916666666</c:v>
                      </c:pt>
                      <c:pt idx="1">
                        <c:v>29725.109583333335</c:v>
                      </c:pt>
                      <c:pt idx="2">
                        <c:v>28029.209657320866</c:v>
                      </c:pt>
                      <c:pt idx="3">
                        <c:v>29784.925545171332</c:v>
                      </c:pt>
                      <c:pt idx="4">
                        <c:v>15283.256716833885</c:v>
                      </c:pt>
                      <c:pt idx="5">
                        <c:v>25448.531116584596</c:v>
                      </c:pt>
                      <c:pt idx="6">
                        <c:v>17513.241774425271</c:v>
                      </c:pt>
                      <c:pt idx="7">
                        <c:v>13152.589798488649</c:v>
                      </c:pt>
                      <c:pt idx="8">
                        <c:v>23887.402684563705</c:v>
                      </c:pt>
                      <c:pt idx="9">
                        <c:v>38728</c:v>
                      </c:pt>
                      <c:pt idx="10">
                        <c:v>88725.247663551316</c:v>
                      </c:pt>
                      <c:pt idx="11">
                        <c:v>85677.513788863289</c:v>
                      </c:pt>
                      <c:pt idx="12">
                        <c:v>74527.148411315458</c:v>
                      </c:pt>
                      <c:pt idx="13">
                        <c:v>93244.241543888813</c:v>
                      </c:pt>
                    </c:numCache>
                  </c:numRef>
                </c:val>
                <c:extLst>
                  <c:ext xmlns:c16="http://schemas.microsoft.com/office/drawing/2014/chart" uri="{C3380CC4-5D6E-409C-BE32-E72D297353CC}">
                    <c16:uniqueId val="{00000004-7554-46F3-973A-579F09FD25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'1880-2010 RPI adjusted'!$A$10</c15:sqref>
                        </c15:formulaRef>
                      </c:ext>
                    </c:extLst>
                    <c:strCache>
                      <c:ptCount val="1"/>
                      <c:pt idx="0">
                        <c:v>Administration Charges (grants)</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RPI adjusted'!$B$10:$O$10</c15:sqref>
                        </c15:formulaRef>
                      </c:ext>
                    </c:extLst>
                    <c:numCache>
                      <c:formatCode>_(* #,##0.00_);_(* \(#,##0.00\);_(* "-"??_);_(@_)</c:formatCode>
                      <c:ptCount val="14"/>
                      <c:pt idx="0">
                        <c:v>0</c:v>
                      </c:pt>
                      <c:pt idx="1">
                        <c:v>0</c:v>
                      </c:pt>
                      <c:pt idx="2">
                        <c:v>0</c:v>
                      </c:pt>
                      <c:pt idx="3">
                        <c:v>0</c:v>
                      </c:pt>
                      <c:pt idx="4">
                        <c:v>0</c:v>
                      </c:pt>
                      <c:pt idx="5">
                        <c:v>0</c:v>
                      </c:pt>
                      <c:pt idx="6">
                        <c:v>8968.5169540229799</c:v>
                      </c:pt>
                      <c:pt idx="7">
                        <c:v>14894.604240134322</c:v>
                      </c:pt>
                      <c:pt idx="8">
                        <c:v>38181.573825503277</c:v>
                      </c:pt>
                      <c:pt idx="9">
                        <c:v>58879</c:v>
                      </c:pt>
                      <c:pt idx="10">
                        <c:v>122464.42523364475</c:v>
                      </c:pt>
                      <c:pt idx="11">
                        <c:v>196511.24714561689</c:v>
                      </c:pt>
                      <c:pt idx="12">
                        <c:v>208853.19747955565</c:v>
                      </c:pt>
                      <c:pt idx="13">
                        <c:v>151693.29736459855</c:v>
                      </c:pt>
                    </c:numCache>
                  </c:numRef>
                </c:val>
                <c:extLst>
                  <c:ext xmlns:c16="http://schemas.microsoft.com/office/drawing/2014/chart" uri="{C3380CC4-5D6E-409C-BE32-E72D297353CC}">
                    <c16:uniqueId val="{00000005-7554-46F3-973A-579F09FD25AF}"/>
                  </c:ext>
                </c:extLst>
              </c15:ser>
            </c15:filteredBarSeries>
          </c:ext>
        </c:extLst>
      </c:barChart>
      <c:catAx>
        <c:axId val="296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996608"/>
        <c:crosses val="autoZero"/>
        <c:auto val="1"/>
        <c:lblAlgn val="ctr"/>
        <c:lblOffset val="100"/>
        <c:noMultiLvlLbl val="0"/>
      </c:catAx>
      <c:valAx>
        <c:axId val="29699660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699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Main components of RS Income, 1870-1920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'1765-1920 summary table'!$A$4</c:f>
              <c:strCache>
                <c:ptCount val="1"/>
                <c:pt idx="0">
                  <c:v>Fees</c:v>
                </c:pt>
              </c:strCache>
            </c:strRef>
          </c:tx>
          <c:spPr>
            <a:solidFill>
              <a:schemeClr val="accent1"/>
            </a:solidFill>
            <a:ln>
              <a:noFill/>
            </a:ln>
            <a:effectLst/>
          </c:spPr>
          <c:invertIfNegative val="0"/>
          <c:cat>
            <c:numRef>
              <c:f>'1765-1920 summary table'!$I$1:$N$1</c:f>
              <c:numCache>
                <c:formatCode>General</c:formatCode>
                <c:ptCount val="6"/>
                <c:pt idx="0">
                  <c:v>1870</c:v>
                </c:pt>
                <c:pt idx="1">
                  <c:v>1880</c:v>
                </c:pt>
                <c:pt idx="2">
                  <c:v>1890</c:v>
                </c:pt>
                <c:pt idx="3">
                  <c:v>1900</c:v>
                </c:pt>
                <c:pt idx="4">
                  <c:v>1910</c:v>
                </c:pt>
                <c:pt idx="5">
                  <c:v>1920</c:v>
                </c:pt>
              </c:numCache>
            </c:numRef>
          </c:cat>
          <c:val>
            <c:numRef>
              <c:f>'1765-1920 summary table'!$I$4:$N$4</c:f>
              <c:numCache>
                <c:formatCode>_-* #,##0_-;\-* #,##0_-;_-* "-"??_-;_-@_-</c:formatCode>
                <c:ptCount val="6"/>
                <c:pt idx="0">
                  <c:v>363888</c:v>
                </c:pt>
                <c:pt idx="1">
                  <c:v>354000</c:v>
                </c:pt>
                <c:pt idx="2">
                  <c:v>366240</c:v>
                </c:pt>
                <c:pt idx="3">
                  <c:v>372000</c:v>
                </c:pt>
                <c:pt idx="4">
                  <c:v>414539</c:v>
                </c:pt>
                <c:pt idx="5">
                  <c:v>404054</c:v>
                </c:pt>
              </c:numCache>
            </c:numRef>
          </c:val>
          <c:extLst>
            <c:ext xmlns:c16="http://schemas.microsoft.com/office/drawing/2014/chart" uri="{C3380CC4-5D6E-409C-BE32-E72D297353CC}">
              <c16:uniqueId val="{00000000-EAFA-40AA-A9E8-86C4C24E17A5}"/>
            </c:ext>
          </c:extLst>
        </c:ser>
        <c:ser>
          <c:idx val="1"/>
          <c:order val="1"/>
          <c:tx>
            <c:strRef>
              <c:f>'1765-1920 summary table'!$A$5</c:f>
              <c:strCache>
                <c:ptCount val="1"/>
                <c:pt idx="0">
                  <c:v>Investments &amp; Rents</c:v>
                </c:pt>
              </c:strCache>
            </c:strRef>
          </c:tx>
          <c:spPr>
            <a:solidFill>
              <a:schemeClr val="accent2"/>
            </a:solidFill>
            <a:ln>
              <a:noFill/>
            </a:ln>
            <a:effectLst/>
          </c:spPr>
          <c:invertIfNegative val="0"/>
          <c:cat>
            <c:numRef>
              <c:f>'1765-1920 summary table'!$I$1:$N$1</c:f>
              <c:numCache>
                <c:formatCode>General</c:formatCode>
                <c:ptCount val="6"/>
                <c:pt idx="0">
                  <c:v>1870</c:v>
                </c:pt>
                <c:pt idx="1">
                  <c:v>1880</c:v>
                </c:pt>
                <c:pt idx="2">
                  <c:v>1890</c:v>
                </c:pt>
                <c:pt idx="3">
                  <c:v>1900</c:v>
                </c:pt>
                <c:pt idx="4">
                  <c:v>1910</c:v>
                </c:pt>
                <c:pt idx="5">
                  <c:v>1920</c:v>
                </c:pt>
              </c:numCache>
            </c:numRef>
          </c:cat>
          <c:val>
            <c:numRef>
              <c:f>'1765-1920 summary table'!$I$5:$N$5</c:f>
              <c:numCache>
                <c:formatCode>_-* #,##0_-;\-* #,##0_-;_-* "-"??_-;_-@_-</c:formatCode>
                <c:ptCount val="6"/>
                <c:pt idx="0">
                  <c:v>415600</c:v>
                </c:pt>
                <c:pt idx="1">
                  <c:v>464251</c:v>
                </c:pt>
                <c:pt idx="2">
                  <c:v>794435</c:v>
                </c:pt>
                <c:pt idx="3">
                  <c:v>801548</c:v>
                </c:pt>
                <c:pt idx="4">
                  <c:v>851756</c:v>
                </c:pt>
                <c:pt idx="5">
                  <c:v>1221299</c:v>
                </c:pt>
              </c:numCache>
            </c:numRef>
          </c:val>
          <c:extLst>
            <c:ext xmlns:c16="http://schemas.microsoft.com/office/drawing/2014/chart" uri="{C3380CC4-5D6E-409C-BE32-E72D297353CC}">
              <c16:uniqueId val="{00000001-EAFA-40AA-A9E8-86C4C24E17A5}"/>
            </c:ext>
          </c:extLst>
        </c:ser>
        <c:ser>
          <c:idx val="2"/>
          <c:order val="2"/>
          <c:tx>
            <c:strRef>
              <c:f>'1765-1920 summary table'!$A$28</c:f>
              <c:strCache>
                <c:ptCount val="1"/>
                <c:pt idx="0">
                  <c:v>Publication Sales</c:v>
                </c:pt>
              </c:strCache>
            </c:strRef>
          </c:tx>
          <c:spPr>
            <a:solidFill>
              <a:schemeClr val="accent3"/>
            </a:solidFill>
            <a:ln>
              <a:noFill/>
            </a:ln>
            <a:effectLst/>
          </c:spPr>
          <c:invertIfNegative val="0"/>
          <c:cat>
            <c:numRef>
              <c:f>'1765-1920 summary table'!$I$1:$N$1</c:f>
              <c:numCache>
                <c:formatCode>General</c:formatCode>
                <c:ptCount val="6"/>
                <c:pt idx="0">
                  <c:v>1870</c:v>
                </c:pt>
                <c:pt idx="1">
                  <c:v>1880</c:v>
                </c:pt>
                <c:pt idx="2">
                  <c:v>1890</c:v>
                </c:pt>
                <c:pt idx="3">
                  <c:v>1900</c:v>
                </c:pt>
                <c:pt idx="4">
                  <c:v>1910</c:v>
                </c:pt>
                <c:pt idx="5">
                  <c:v>1920</c:v>
                </c:pt>
              </c:numCache>
            </c:numRef>
          </c:cat>
          <c:val>
            <c:numRef>
              <c:f>'1765-1920 summary table'!$I$28:$N$28</c:f>
              <c:numCache>
                <c:formatCode>_-* #,##0_-;\-* #,##0_-;_-* "-"??_-;_-@_-</c:formatCode>
                <c:ptCount val="6"/>
                <c:pt idx="0">
                  <c:v>149508</c:v>
                </c:pt>
                <c:pt idx="1">
                  <c:v>189498</c:v>
                </c:pt>
                <c:pt idx="2">
                  <c:v>158202</c:v>
                </c:pt>
                <c:pt idx="3">
                  <c:v>169992</c:v>
                </c:pt>
                <c:pt idx="4">
                  <c:v>236976</c:v>
                </c:pt>
                <c:pt idx="5">
                  <c:v>324264</c:v>
                </c:pt>
              </c:numCache>
            </c:numRef>
          </c:val>
          <c:extLst>
            <c:ext xmlns:c16="http://schemas.microsoft.com/office/drawing/2014/chart" uri="{C3380CC4-5D6E-409C-BE32-E72D297353CC}">
              <c16:uniqueId val="{00000002-EAFA-40AA-A9E8-86C4C24E17A5}"/>
            </c:ext>
          </c:extLst>
        </c:ser>
        <c:dLbls>
          <c:showLegendKey val="0"/>
          <c:showVal val="0"/>
          <c:showCatName val="0"/>
          <c:showSerName val="0"/>
          <c:showPercent val="0"/>
          <c:showBubbleSize val="0"/>
        </c:dLbls>
        <c:gapWidth val="219"/>
        <c:overlap val="-27"/>
        <c:axId val="209081936"/>
        <c:axId val="209082496"/>
      </c:barChart>
      <c:catAx>
        <c:axId val="20908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082496"/>
        <c:crosses val="autoZero"/>
        <c:auto val="1"/>
        <c:lblAlgn val="ctr"/>
        <c:lblOffset val="100"/>
        <c:noMultiLvlLbl val="0"/>
      </c:catAx>
      <c:valAx>
        <c:axId val="20908249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081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Grant Administration Income, 1880-2010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'1880-2010 RPI adjusted'!$A$10</c:f>
              <c:strCache>
                <c:ptCount val="1"/>
                <c:pt idx="0">
                  <c:v>Administration Charges (grants)</c:v>
                </c:pt>
              </c:strCache>
            </c:strRef>
          </c:tx>
          <c:spPr>
            <a:solidFill>
              <a:schemeClr val="accent4"/>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adjusted'!$B$10:$O$10</c:f>
              <c:numCache>
                <c:formatCode>_(* #,##0.00_);_(* \(#,##0.00\);_(* "-"??_);_(@_)</c:formatCode>
                <c:ptCount val="14"/>
                <c:pt idx="0">
                  <c:v>0</c:v>
                </c:pt>
                <c:pt idx="1">
                  <c:v>0</c:v>
                </c:pt>
                <c:pt idx="2">
                  <c:v>0</c:v>
                </c:pt>
                <c:pt idx="3">
                  <c:v>0</c:v>
                </c:pt>
                <c:pt idx="4">
                  <c:v>0</c:v>
                </c:pt>
                <c:pt idx="5">
                  <c:v>0</c:v>
                </c:pt>
                <c:pt idx="6">
                  <c:v>8968.5169540229799</c:v>
                </c:pt>
                <c:pt idx="7">
                  <c:v>14894.604240134322</c:v>
                </c:pt>
                <c:pt idx="8">
                  <c:v>38181.573825503277</c:v>
                </c:pt>
                <c:pt idx="9">
                  <c:v>58879</c:v>
                </c:pt>
                <c:pt idx="10">
                  <c:v>122464.42523364475</c:v>
                </c:pt>
                <c:pt idx="11">
                  <c:v>196511.24714561689</c:v>
                </c:pt>
                <c:pt idx="12">
                  <c:v>208853.19747955565</c:v>
                </c:pt>
                <c:pt idx="13">
                  <c:v>151693.29736459855</c:v>
                </c:pt>
              </c:numCache>
            </c:numRef>
          </c:val>
          <c:extLst>
            <c:ext xmlns:c16="http://schemas.microsoft.com/office/drawing/2014/chart" uri="{C3380CC4-5D6E-409C-BE32-E72D297353CC}">
              <c16:uniqueId val="{00000000-45E8-47F7-9118-F82F189ACCC8}"/>
            </c:ext>
          </c:extLst>
        </c:ser>
        <c:dLbls>
          <c:showLegendKey val="0"/>
          <c:showVal val="0"/>
          <c:showCatName val="0"/>
          <c:showSerName val="0"/>
          <c:showPercent val="0"/>
          <c:showBubbleSize val="0"/>
        </c:dLbls>
        <c:gapWidth val="219"/>
        <c:overlap val="-27"/>
        <c:axId val="297001088"/>
        <c:axId val="297001648"/>
        <c:extLst>
          <c:ext xmlns:c15="http://schemas.microsoft.com/office/drawing/2012/chart" uri="{02D57815-91ED-43cb-92C2-25804820EDAC}">
            <c15:filteredBarSeries>
              <c15:ser>
                <c:idx val="0"/>
                <c:order val="0"/>
                <c:tx>
                  <c:strRef>
                    <c:extLst>
                      <c:ext uri="{02D57815-91ED-43cb-92C2-25804820EDAC}">
                        <c15:formulaRef>
                          <c15:sqref>'1880-2010 RPI adjusted'!$A$6</c15:sqref>
                        </c15:formulaRef>
                      </c:ext>
                    </c:extLst>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2-45E8-47F7-9118-F82F189ACCC8}"/>
                    </c:ext>
                  </c:extLst>
                </c:dPt>
                <c:cat>
                  <c:numRef>
                    <c:extLst>
                      <c:ex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c:ext uri="{02D57815-91ED-43cb-92C2-25804820EDAC}">
                        <c15:formulaRef>
                          <c15:sqref>'1880-2010 RPI adjusted'!$B$6:$O$6</c15:sqref>
                        </c15:formulaRef>
                      </c:ext>
                    </c:extLst>
                    <c:numCache>
                      <c:formatCode>_(* #,##0.00_);_(* \(#,##0.00\);_(* "-"??_);_(@_)</c:formatCode>
                      <c:ptCount val="14"/>
                      <c:pt idx="0">
                        <c:v>13245.5</c:v>
                      </c:pt>
                      <c:pt idx="1">
                        <c:v>13703.480000000001</c:v>
                      </c:pt>
                      <c:pt idx="2">
                        <c:v>13008.411214953268</c:v>
                      </c:pt>
                      <c:pt idx="3">
                        <c:v>14495.951012461057</c:v>
                      </c:pt>
                      <c:pt idx="4">
                        <c:v>5056.3056298773672</c:v>
                      </c:pt>
                      <c:pt idx="5">
                        <c:v>9378.1280788177464</c:v>
                      </c:pt>
                      <c:pt idx="6">
                        <c:v>8554.2241379310271</c:v>
                      </c:pt>
                      <c:pt idx="7">
                        <c:v>5722.7707808564155</c:v>
                      </c:pt>
                      <c:pt idx="8">
                        <c:v>4904.3456375838923</c:v>
                      </c:pt>
                      <c:pt idx="9">
                        <c:v>6340</c:v>
                      </c:pt>
                      <c:pt idx="10">
                        <c:v>4504.9532710280337</c:v>
                      </c:pt>
                      <c:pt idx="11">
                        <c:v>8393.3381345511807</c:v>
                      </c:pt>
                      <c:pt idx="12">
                        <c:v>16167.850918353726</c:v>
                      </c:pt>
                      <c:pt idx="13">
                        <c:v>17397.59286158955</c:v>
                      </c:pt>
                    </c:numCache>
                  </c:numRef>
                </c:val>
                <c:extLst>
                  <c:ext xmlns:c16="http://schemas.microsoft.com/office/drawing/2014/chart" uri="{C3380CC4-5D6E-409C-BE32-E72D297353CC}">
                    <c16:uniqueId val="{00000003-45E8-47F7-9118-F82F189ACCC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'1880-2010 RPI adjusted'!$A$7</c15:sqref>
                        </c15:formulaRef>
                      </c:ext>
                    </c:extLst>
                    <c:strCache>
                      <c:ptCount val="1"/>
                      <c:pt idx="0">
                        <c:v>Investments &amp; Rents</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RPI adjusted'!$B$7:$O$7</c15:sqref>
                        </c15:formulaRef>
                      </c:ext>
                    </c:extLst>
                    <c:numCache>
                      <c:formatCode>_(* #,##0.00_);_(* \(#,##0.00\);_(* "-"??_);_(@_)</c:formatCode>
                      <c:ptCount val="14"/>
                      <c:pt idx="0">
                        <c:v>17370.724916666666</c:v>
                      </c:pt>
                      <c:pt idx="1">
                        <c:v>29725.109583333335</c:v>
                      </c:pt>
                      <c:pt idx="2">
                        <c:v>28029.209657320866</c:v>
                      </c:pt>
                      <c:pt idx="3">
                        <c:v>29784.925545171332</c:v>
                      </c:pt>
                      <c:pt idx="4">
                        <c:v>15283.256716833885</c:v>
                      </c:pt>
                      <c:pt idx="5">
                        <c:v>25448.531116584596</c:v>
                      </c:pt>
                      <c:pt idx="6">
                        <c:v>17513.241774425271</c:v>
                      </c:pt>
                      <c:pt idx="7">
                        <c:v>13152.589798488649</c:v>
                      </c:pt>
                      <c:pt idx="8">
                        <c:v>23887.402684563705</c:v>
                      </c:pt>
                      <c:pt idx="9">
                        <c:v>38728</c:v>
                      </c:pt>
                      <c:pt idx="10">
                        <c:v>88725.247663551316</c:v>
                      </c:pt>
                      <c:pt idx="11">
                        <c:v>85677.513788863289</c:v>
                      </c:pt>
                      <c:pt idx="12">
                        <c:v>74527.148411315458</c:v>
                      </c:pt>
                      <c:pt idx="13">
                        <c:v>93244.241543888813</c:v>
                      </c:pt>
                    </c:numCache>
                  </c:numRef>
                </c:val>
                <c:extLst>
                  <c:ext xmlns:c16="http://schemas.microsoft.com/office/drawing/2014/chart" uri="{C3380CC4-5D6E-409C-BE32-E72D297353CC}">
                    <c16:uniqueId val="{00000004-45E8-47F7-9118-F82F189ACCC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'1880-2010 RPI adjusted'!$A$30</c15:sqref>
                        </c15:formulaRef>
                      </c:ext>
                    </c:extLst>
                    <c:strCache>
                      <c:ptCount val="1"/>
                      <c:pt idx="0">
                        <c:v>Publication Sales</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'1880-2010 RPI adjusted'!$B$1:$O$1</c15:sqref>
                        </c15:formulaRef>
                      </c:ext>
                    </c:extLst>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extLst xmlns:c15="http://schemas.microsoft.com/office/drawing/2012/chart">
                      <c:ext xmlns:c15="http://schemas.microsoft.com/office/drawing/2012/chart" uri="{02D57815-91ED-43cb-92C2-25804820EDAC}">
                        <c15:formulaRef>
                          <c15:sqref>'1880-2010 RPI adjusted'!$B$30:$O$30</c15:sqref>
                        </c15:formulaRef>
                      </c:ext>
                    </c:extLst>
                    <c:numCache>
                      <c:formatCode>_(* #,##0.00_);_(* \(#,##0.00\);_(* "-"??_);_(@_)</c:formatCode>
                      <c:ptCount val="14"/>
                      <c:pt idx="0">
                        <c:v>7090.3835000000008</c:v>
                      </c:pt>
                      <c:pt idx="1">
                        <c:v>5919.3914999999997</c:v>
                      </c:pt>
                      <c:pt idx="2">
                        <c:v>5944.4242990654193</c:v>
                      </c:pt>
                      <c:pt idx="3">
                        <c:v>8286.7775700934562</c:v>
                      </c:pt>
                      <c:pt idx="4">
                        <c:v>4057.8187290969881</c:v>
                      </c:pt>
                      <c:pt idx="5">
                        <c:v>22130.668103448304</c:v>
                      </c:pt>
                      <c:pt idx="6">
                        <c:v>22978.558800287334</c:v>
                      </c:pt>
                      <c:pt idx="7">
                        <c:v>37128.011691855529</c:v>
                      </c:pt>
                      <c:pt idx="8">
                        <c:v>119058.82885906014</c:v>
                      </c:pt>
                      <c:pt idx="9">
                        <c:v>203362</c:v>
                      </c:pt>
                      <c:pt idx="10">
                        <c:v>209014.94392523347</c:v>
                      </c:pt>
                      <c:pt idx="11">
                        <c:v>186304.85859827808</c:v>
                      </c:pt>
                      <c:pt idx="12">
                        <c:v>196339.72382356957</c:v>
                      </c:pt>
                      <c:pt idx="13">
                        <c:v>377604.89728159388</c:v>
                      </c:pt>
                    </c:numCache>
                  </c:numRef>
                </c:val>
                <c:extLst>
                  <c:ext xmlns:c16="http://schemas.microsoft.com/office/drawing/2014/chart" uri="{C3380CC4-5D6E-409C-BE32-E72D297353CC}">
                    <c16:uniqueId val="{00000005-45E8-47F7-9118-F82F189ACCC8}"/>
                  </c:ext>
                </c:extLst>
              </c15:ser>
            </c15:filteredBarSeries>
          </c:ext>
        </c:extLst>
      </c:barChart>
      <c:catAx>
        <c:axId val="29700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001648"/>
        <c:crosses val="autoZero"/>
        <c:auto val="1"/>
        <c:lblAlgn val="ctr"/>
        <c:lblOffset val="100"/>
        <c:noMultiLvlLbl val="0"/>
      </c:catAx>
      <c:valAx>
        <c:axId val="29700164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001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Publication</a:t>
            </a:r>
            <a:r>
              <a:rPr lang="en-GB" baseline="0"/>
              <a:t> Costs</a:t>
            </a:r>
            <a:r>
              <a:rPr lang="en-GB"/>
              <a:t>, 1880-2010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'1880-2010 RPI adjusted'!$A$34</c:f>
              <c:strCache>
                <c:ptCount val="1"/>
                <c:pt idx="0">
                  <c:v>Publication Costs</c:v>
                </c:pt>
              </c:strCache>
            </c:strRef>
          </c:tx>
          <c:spPr>
            <a:solidFill>
              <a:schemeClr val="accent2"/>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adjusted'!$B$34:$O$34</c:f>
              <c:numCache>
                <c:formatCode>_(* #,##0.00_);_(* \(#,##0.00\);_(* "-"??_);_(@_)</c:formatCode>
                <c:ptCount val="14"/>
                <c:pt idx="0">
                  <c:v>19053.127916666665</c:v>
                </c:pt>
                <c:pt idx="1">
                  <c:v>19727.338833333335</c:v>
                </c:pt>
                <c:pt idx="2">
                  <c:v>16923.942990654203</c:v>
                </c:pt>
                <c:pt idx="3">
                  <c:v>21511.715887850463</c:v>
                </c:pt>
                <c:pt idx="4">
                  <c:v>18422.627675585278</c:v>
                </c:pt>
                <c:pt idx="5">
                  <c:v>41073.473070607608</c:v>
                </c:pt>
                <c:pt idx="6">
                  <c:v>36468.847665229849</c:v>
                </c:pt>
                <c:pt idx="7">
                  <c:v>43668.869143576769</c:v>
                </c:pt>
                <c:pt idx="8">
                  <c:v>117573.21140939572</c:v>
                </c:pt>
                <c:pt idx="9">
                  <c:v>124783</c:v>
                </c:pt>
                <c:pt idx="10">
                  <c:v>156484.26635514005</c:v>
                </c:pt>
                <c:pt idx="11">
                  <c:v>176266.77498682545</c:v>
                </c:pt>
                <c:pt idx="12">
                  <c:v>169651.69593779388</c:v>
                </c:pt>
                <c:pt idx="13">
                  <c:v>255736.04482257742</c:v>
                </c:pt>
              </c:numCache>
            </c:numRef>
          </c:val>
          <c:extLst>
            <c:ext xmlns:c16="http://schemas.microsoft.com/office/drawing/2014/chart" uri="{C3380CC4-5D6E-409C-BE32-E72D297353CC}">
              <c16:uniqueId val="{00000000-821D-42E3-BB98-808F2287D535}"/>
            </c:ext>
          </c:extLst>
        </c:ser>
        <c:ser>
          <c:idx val="0"/>
          <c:order val="1"/>
          <c:tx>
            <c:strRef>
              <c:f>'1880-2010 RPI adjusted'!$A$30</c:f>
              <c:strCache>
                <c:ptCount val="1"/>
                <c:pt idx="0">
                  <c:v>Publication Sales</c:v>
                </c:pt>
              </c:strCache>
            </c:strRef>
          </c:tx>
          <c:spPr>
            <a:solidFill>
              <a:srgbClr val="92D050"/>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adjusted'!$B$30:$O$30</c:f>
              <c:numCache>
                <c:formatCode>_(* #,##0.00_);_(* \(#,##0.00\);_(* "-"??_);_(@_)</c:formatCode>
                <c:ptCount val="14"/>
                <c:pt idx="0">
                  <c:v>7090.3835000000008</c:v>
                </c:pt>
                <c:pt idx="1">
                  <c:v>5919.3914999999997</c:v>
                </c:pt>
                <c:pt idx="2">
                  <c:v>5944.4242990654193</c:v>
                </c:pt>
                <c:pt idx="3">
                  <c:v>8286.7775700934562</c:v>
                </c:pt>
                <c:pt idx="4">
                  <c:v>4057.8187290969881</c:v>
                </c:pt>
                <c:pt idx="5">
                  <c:v>22130.668103448304</c:v>
                </c:pt>
                <c:pt idx="6">
                  <c:v>22978.558800287334</c:v>
                </c:pt>
                <c:pt idx="7">
                  <c:v>37128.011691855529</c:v>
                </c:pt>
                <c:pt idx="8">
                  <c:v>119058.82885906014</c:v>
                </c:pt>
                <c:pt idx="9">
                  <c:v>203362</c:v>
                </c:pt>
                <c:pt idx="10">
                  <c:v>209014.94392523347</c:v>
                </c:pt>
                <c:pt idx="11">
                  <c:v>186304.85859827808</c:v>
                </c:pt>
                <c:pt idx="12">
                  <c:v>196339.72382356957</c:v>
                </c:pt>
                <c:pt idx="13">
                  <c:v>377604.89728159388</c:v>
                </c:pt>
              </c:numCache>
            </c:numRef>
          </c:val>
          <c:extLst>
            <c:ext xmlns:c16="http://schemas.microsoft.com/office/drawing/2014/chart" uri="{C3380CC4-5D6E-409C-BE32-E72D297353CC}">
              <c16:uniqueId val="{00000001-821D-42E3-BB98-808F2287D535}"/>
            </c:ext>
          </c:extLst>
        </c:ser>
        <c:dLbls>
          <c:showLegendKey val="0"/>
          <c:showVal val="0"/>
          <c:showCatName val="0"/>
          <c:showSerName val="0"/>
          <c:showPercent val="0"/>
          <c:showBubbleSize val="0"/>
        </c:dLbls>
        <c:gapWidth val="219"/>
        <c:overlap val="-27"/>
        <c:axId val="297005008"/>
        <c:axId val="297005568"/>
        <c:extLst/>
      </c:barChart>
      <c:catAx>
        <c:axId val="29700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005568"/>
        <c:crosses val="autoZero"/>
        <c:auto val="1"/>
        <c:lblAlgn val="ctr"/>
        <c:lblOffset val="100"/>
        <c:noMultiLvlLbl val="0"/>
      </c:catAx>
      <c:valAx>
        <c:axId val="297005568"/>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00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Publications</a:t>
            </a:r>
            <a:r>
              <a:rPr lang="en-GB" baseline="0"/>
              <a:t> </a:t>
            </a:r>
            <a:r>
              <a:rPr lang="en-GB"/>
              <a:t>Surplus, 1880-2010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'1880-2010 RPI adjusted'!$A$35</c:f>
              <c:strCache>
                <c:ptCount val="1"/>
                <c:pt idx="0">
                  <c:v>PUBLICATIONS BALANCE (before grants)</c:v>
                </c:pt>
              </c:strCache>
            </c:strRef>
          </c:tx>
          <c:spPr>
            <a:solidFill>
              <a:schemeClr val="accent1"/>
            </a:solidFill>
            <a:ln>
              <a:noFill/>
            </a:ln>
            <a:effectLst/>
          </c:spPr>
          <c:invertIfNegative val="0"/>
          <c:cat>
            <c:numRef>
              <c:f>'1880-2010 RPI adjusted'!$B$1:$O$1</c:f>
              <c:numCache>
                <c:formatCode>General</c:formatCode>
                <c:ptCount val="14"/>
                <c:pt idx="0">
                  <c:v>1880</c:v>
                </c:pt>
                <c:pt idx="1">
                  <c:v>1890</c:v>
                </c:pt>
                <c:pt idx="2">
                  <c:v>1900</c:v>
                </c:pt>
                <c:pt idx="3">
                  <c:v>1910</c:v>
                </c:pt>
                <c:pt idx="4">
                  <c:v>1920</c:v>
                </c:pt>
                <c:pt idx="5">
                  <c:v>1930</c:v>
                </c:pt>
                <c:pt idx="6">
                  <c:v>1940</c:v>
                </c:pt>
                <c:pt idx="7">
                  <c:v>1950</c:v>
                </c:pt>
                <c:pt idx="8">
                  <c:v>1960</c:v>
                </c:pt>
                <c:pt idx="9">
                  <c:v>1970</c:v>
                </c:pt>
                <c:pt idx="10">
                  <c:v>1980</c:v>
                </c:pt>
                <c:pt idx="11">
                  <c:v>1990</c:v>
                </c:pt>
                <c:pt idx="12">
                  <c:v>2000</c:v>
                </c:pt>
                <c:pt idx="13">
                  <c:v>2010</c:v>
                </c:pt>
              </c:numCache>
            </c:numRef>
          </c:cat>
          <c:val>
            <c:numRef>
              <c:f>'1880-2010 RPI adjusted'!$B$35:$O$35</c:f>
              <c:numCache>
                <c:formatCode>_(* #,##0.00_);_(* \(#,##0.00\);_(* "-"??_);_(@_)</c:formatCode>
                <c:ptCount val="14"/>
                <c:pt idx="0">
                  <c:v>-11962.744416666668</c:v>
                </c:pt>
                <c:pt idx="1">
                  <c:v>-13807.947333333335</c:v>
                </c:pt>
                <c:pt idx="2">
                  <c:v>-10979.518691588783</c:v>
                </c:pt>
                <c:pt idx="3">
                  <c:v>-13224.938317757007</c:v>
                </c:pt>
                <c:pt idx="4">
                  <c:v>-14364.808946488289</c:v>
                </c:pt>
                <c:pt idx="5">
                  <c:v>-18942.804967159303</c:v>
                </c:pt>
                <c:pt idx="6">
                  <c:v>-13490.288864942517</c:v>
                </c:pt>
                <c:pt idx="7">
                  <c:v>-6540.8574517212337</c:v>
                </c:pt>
                <c:pt idx="8">
                  <c:v>1485.6174496644264</c:v>
                </c:pt>
                <c:pt idx="9">
                  <c:v>78579</c:v>
                </c:pt>
                <c:pt idx="10">
                  <c:v>52530.677570093409</c:v>
                </c:pt>
                <c:pt idx="11">
                  <c:v>10038.083611452634</c:v>
                </c:pt>
                <c:pt idx="12">
                  <c:v>26688.027885775671</c:v>
                </c:pt>
                <c:pt idx="13">
                  <c:v>121868.85245901646</c:v>
                </c:pt>
              </c:numCache>
            </c:numRef>
          </c:val>
          <c:extLst>
            <c:ext xmlns:c16="http://schemas.microsoft.com/office/drawing/2014/chart" uri="{C3380CC4-5D6E-409C-BE32-E72D297353CC}">
              <c16:uniqueId val="{00000000-4943-44CC-9171-CBB4C64B99B8}"/>
            </c:ext>
          </c:extLst>
        </c:ser>
        <c:dLbls>
          <c:showLegendKey val="0"/>
          <c:showVal val="0"/>
          <c:showCatName val="0"/>
          <c:showSerName val="0"/>
          <c:showPercent val="0"/>
          <c:showBubbleSize val="0"/>
        </c:dLbls>
        <c:gapWidth val="219"/>
        <c:overlap val="-27"/>
        <c:axId val="221037104"/>
        <c:axId val="221037664"/>
        <c:extLst/>
      </c:barChart>
      <c:catAx>
        <c:axId val="22103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037664"/>
        <c:crosses val="autoZero"/>
        <c:auto val="1"/>
        <c:lblAlgn val="ctr"/>
        <c:lblOffset val="100"/>
        <c:noMultiLvlLbl val="0"/>
      </c:catAx>
      <c:valAx>
        <c:axId val="221037664"/>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103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Publication</a:t>
            </a:r>
            <a:r>
              <a:rPr lang="en-GB" baseline="0"/>
              <a:t> Costs and Sales Income</a:t>
            </a:r>
            <a:r>
              <a:rPr lang="en-GB"/>
              <a:t>, 1900-1970 </a:t>
            </a:r>
            <a:r>
              <a:rPr lang="en-GB" sz="1400" b="0" i="0" u="none" strike="noStrike" baseline="0">
                <a:effectLst/>
              </a:rPr>
              <a:t>(adjusted to 1970£)</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'1880-2010 RPI adjusted'!$A$34</c:f>
              <c:strCache>
                <c:ptCount val="1"/>
                <c:pt idx="0">
                  <c:v>Publication Costs</c:v>
                </c:pt>
              </c:strCache>
            </c:strRef>
          </c:tx>
          <c:spPr>
            <a:solidFill>
              <a:schemeClr val="accent2"/>
            </a:solidFill>
            <a:ln>
              <a:noFill/>
            </a:ln>
            <a:effectLst/>
          </c:spPr>
          <c:invertIfNegative val="0"/>
          <c:cat>
            <c:numRef>
              <c:f>'1880-2010 RPI adjusted'!$D$1:$K$1</c:f>
              <c:numCache>
                <c:formatCode>General</c:formatCode>
                <c:ptCount val="8"/>
                <c:pt idx="0">
                  <c:v>1900</c:v>
                </c:pt>
                <c:pt idx="1">
                  <c:v>1910</c:v>
                </c:pt>
                <c:pt idx="2">
                  <c:v>1920</c:v>
                </c:pt>
                <c:pt idx="3">
                  <c:v>1930</c:v>
                </c:pt>
                <c:pt idx="4">
                  <c:v>1940</c:v>
                </c:pt>
                <c:pt idx="5">
                  <c:v>1950</c:v>
                </c:pt>
                <c:pt idx="6">
                  <c:v>1960</c:v>
                </c:pt>
                <c:pt idx="7">
                  <c:v>1970</c:v>
                </c:pt>
              </c:numCache>
            </c:numRef>
          </c:cat>
          <c:val>
            <c:numRef>
              <c:f>'1880-2010 RPI adjusted'!$D$34:$K$34</c:f>
              <c:numCache>
                <c:formatCode>_(* #,##0.00_);_(* \(#,##0.00\);_(* "-"??_);_(@_)</c:formatCode>
                <c:ptCount val="8"/>
                <c:pt idx="0">
                  <c:v>16923.942990654203</c:v>
                </c:pt>
                <c:pt idx="1">
                  <c:v>21511.715887850463</c:v>
                </c:pt>
                <c:pt idx="2">
                  <c:v>18422.627675585278</c:v>
                </c:pt>
                <c:pt idx="3">
                  <c:v>41073.473070607608</c:v>
                </c:pt>
                <c:pt idx="4">
                  <c:v>36468.847665229849</c:v>
                </c:pt>
                <c:pt idx="5">
                  <c:v>43668.869143576769</c:v>
                </c:pt>
                <c:pt idx="6">
                  <c:v>117573.21140939572</c:v>
                </c:pt>
                <c:pt idx="7">
                  <c:v>124783</c:v>
                </c:pt>
              </c:numCache>
            </c:numRef>
          </c:val>
          <c:extLst>
            <c:ext xmlns:c16="http://schemas.microsoft.com/office/drawing/2014/chart" uri="{C3380CC4-5D6E-409C-BE32-E72D297353CC}">
              <c16:uniqueId val="{00000000-447F-416D-B6CC-27A154FE07E1}"/>
            </c:ext>
          </c:extLst>
        </c:ser>
        <c:ser>
          <c:idx val="0"/>
          <c:order val="1"/>
          <c:tx>
            <c:strRef>
              <c:f>'1880-2010 RPI adjusted'!$A$30</c:f>
              <c:strCache>
                <c:ptCount val="1"/>
                <c:pt idx="0">
                  <c:v>Publication Sales</c:v>
                </c:pt>
              </c:strCache>
            </c:strRef>
          </c:tx>
          <c:spPr>
            <a:solidFill>
              <a:srgbClr val="92D050"/>
            </a:solidFill>
            <a:ln>
              <a:noFill/>
            </a:ln>
            <a:effectLst/>
          </c:spPr>
          <c:invertIfNegative val="0"/>
          <c:cat>
            <c:numRef>
              <c:f>'1880-2010 RPI adjusted'!$D$1:$K$1</c:f>
              <c:numCache>
                <c:formatCode>General</c:formatCode>
                <c:ptCount val="8"/>
                <c:pt idx="0">
                  <c:v>1900</c:v>
                </c:pt>
                <c:pt idx="1">
                  <c:v>1910</c:v>
                </c:pt>
                <c:pt idx="2">
                  <c:v>1920</c:v>
                </c:pt>
                <c:pt idx="3">
                  <c:v>1930</c:v>
                </c:pt>
                <c:pt idx="4">
                  <c:v>1940</c:v>
                </c:pt>
                <c:pt idx="5">
                  <c:v>1950</c:v>
                </c:pt>
                <c:pt idx="6">
                  <c:v>1960</c:v>
                </c:pt>
                <c:pt idx="7">
                  <c:v>1970</c:v>
                </c:pt>
              </c:numCache>
            </c:numRef>
          </c:cat>
          <c:val>
            <c:numRef>
              <c:f>'1880-2010 RPI adjusted'!$D$30:$K$30</c:f>
              <c:numCache>
                <c:formatCode>_(* #,##0.00_);_(* \(#,##0.00\);_(* "-"??_);_(@_)</c:formatCode>
                <c:ptCount val="8"/>
                <c:pt idx="0">
                  <c:v>5944.4242990654193</c:v>
                </c:pt>
                <c:pt idx="1">
                  <c:v>8286.7775700934562</c:v>
                </c:pt>
                <c:pt idx="2">
                  <c:v>4057.8187290969881</c:v>
                </c:pt>
                <c:pt idx="3">
                  <c:v>22130.668103448304</c:v>
                </c:pt>
                <c:pt idx="4">
                  <c:v>22978.558800287334</c:v>
                </c:pt>
                <c:pt idx="5">
                  <c:v>37128.011691855529</c:v>
                </c:pt>
                <c:pt idx="6">
                  <c:v>119058.82885906014</c:v>
                </c:pt>
                <c:pt idx="7">
                  <c:v>203362</c:v>
                </c:pt>
              </c:numCache>
            </c:numRef>
          </c:val>
          <c:extLst>
            <c:ext xmlns:c16="http://schemas.microsoft.com/office/drawing/2014/chart" uri="{C3380CC4-5D6E-409C-BE32-E72D297353CC}">
              <c16:uniqueId val="{00000001-447F-416D-B6CC-27A154FE07E1}"/>
            </c:ext>
          </c:extLst>
        </c:ser>
        <c:dLbls>
          <c:showLegendKey val="0"/>
          <c:showVal val="0"/>
          <c:showCatName val="0"/>
          <c:showSerName val="0"/>
          <c:showPercent val="0"/>
          <c:showBubbleSize val="0"/>
        </c:dLbls>
        <c:gapWidth val="219"/>
        <c:overlap val="-27"/>
        <c:axId val="220961200"/>
        <c:axId val="220961760"/>
        <c:extLst/>
      </c:barChart>
      <c:catAx>
        <c:axId val="22096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961760"/>
        <c:crosses val="autoZero"/>
        <c:auto val="1"/>
        <c:lblAlgn val="ctr"/>
        <c:lblOffset val="100"/>
        <c:noMultiLvlLbl val="0"/>
      </c:catAx>
      <c:valAx>
        <c:axId val="2209617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961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Key items of RS Expenditure, 1870-1920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'1765-1920 summary table'!$A$14</c:f>
              <c:strCache>
                <c:ptCount val="1"/>
                <c:pt idx="0">
                  <c:v>Establishment Expenses</c:v>
                </c:pt>
              </c:strCache>
            </c:strRef>
          </c:tx>
          <c:spPr>
            <a:solidFill>
              <a:schemeClr val="accent1"/>
            </a:solidFill>
            <a:ln>
              <a:noFill/>
            </a:ln>
            <a:effectLst/>
          </c:spPr>
          <c:invertIfNegative val="0"/>
          <c:cat>
            <c:numRef>
              <c:f>'1765-1920 summary table'!$I$1:$N$1</c:f>
              <c:numCache>
                <c:formatCode>General</c:formatCode>
                <c:ptCount val="6"/>
                <c:pt idx="0">
                  <c:v>1870</c:v>
                </c:pt>
                <c:pt idx="1">
                  <c:v>1880</c:v>
                </c:pt>
                <c:pt idx="2">
                  <c:v>1890</c:v>
                </c:pt>
                <c:pt idx="3">
                  <c:v>1900</c:v>
                </c:pt>
                <c:pt idx="4">
                  <c:v>1910</c:v>
                </c:pt>
                <c:pt idx="5">
                  <c:v>1920</c:v>
                </c:pt>
              </c:numCache>
            </c:numRef>
          </c:cat>
          <c:val>
            <c:numRef>
              <c:f>'1765-1920 summary table'!$I$14:$N$14</c:f>
              <c:numCache>
                <c:formatCode>_-* #,##0_-;\-* #,##0_-;_-* "-"??_-;_-@_-</c:formatCode>
                <c:ptCount val="6"/>
                <c:pt idx="0">
                  <c:v>77204</c:v>
                </c:pt>
                <c:pt idx="1">
                  <c:v>148023</c:v>
                </c:pt>
                <c:pt idx="2">
                  <c:v>209996</c:v>
                </c:pt>
                <c:pt idx="3">
                  <c:v>288289</c:v>
                </c:pt>
                <c:pt idx="4">
                  <c:v>388778</c:v>
                </c:pt>
                <c:pt idx="5">
                  <c:v>596735</c:v>
                </c:pt>
              </c:numCache>
            </c:numRef>
          </c:val>
          <c:extLst>
            <c:ext xmlns:c16="http://schemas.microsoft.com/office/drawing/2014/chart" uri="{C3380CC4-5D6E-409C-BE32-E72D297353CC}">
              <c16:uniqueId val="{00000000-B4C2-4C3A-98FB-2E8FB7BB555A}"/>
            </c:ext>
          </c:extLst>
        </c:ser>
        <c:ser>
          <c:idx val="1"/>
          <c:order val="1"/>
          <c:tx>
            <c:strRef>
              <c:f>'1765-1920 summary table'!$A$15</c:f>
              <c:strCache>
                <c:ptCount val="1"/>
                <c:pt idx="0">
                  <c:v>Salaries, stipends and pensions</c:v>
                </c:pt>
              </c:strCache>
            </c:strRef>
          </c:tx>
          <c:spPr>
            <a:solidFill>
              <a:schemeClr val="accent2"/>
            </a:solidFill>
            <a:ln>
              <a:noFill/>
            </a:ln>
            <a:effectLst/>
          </c:spPr>
          <c:invertIfNegative val="0"/>
          <c:cat>
            <c:numRef>
              <c:f>'1765-1920 summary table'!$I$1:$N$1</c:f>
              <c:numCache>
                <c:formatCode>General</c:formatCode>
                <c:ptCount val="6"/>
                <c:pt idx="0">
                  <c:v>1870</c:v>
                </c:pt>
                <c:pt idx="1">
                  <c:v>1880</c:v>
                </c:pt>
                <c:pt idx="2">
                  <c:v>1890</c:v>
                </c:pt>
                <c:pt idx="3">
                  <c:v>1900</c:v>
                </c:pt>
                <c:pt idx="4">
                  <c:v>1910</c:v>
                </c:pt>
                <c:pt idx="5">
                  <c:v>1920</c:v>
                </c:pt>
              </c:numCache>
            </c:numRef>
          </c:cat>
          <c:val>
            <c:numRef>
              <c:f>'1765-1920 summary table'!$I$15:$N$15</c:f>
              <c:numCache>
                <c:formatCode>_-* #,##0_-;\-* #,##0_-;_-* "-"??_-;_-@_-</c:formatCode>
                <c:ptCount val="6"/>
                <c:pt idx="0">
                  <c:v>252952</c:v>
                </c:pt>
                <c:pt idx="1">
                  <c:v>261501</c:v>
                </c:pt>
                <c:pt idx="2">
                  <c:v>421344</c:v>
                </c:pt>
                <c:pt idx="3">
                  <c:v>464901</c:v>
                </c:pt>
                <c:pt idx="4">
                  <c:v>564366</c:v>
                </c:pt>
                <c:pt idx="5">
                  <c:v>1065815</c:v>
                </c:pt>
              </c:numCache>
            </c:numRef>
          </c:val>
          <c:extLst>
            <c:ext xmlns:c16="http://schemas.microsoft.com/office/drawing/2014/chart" uri="{C3380CC4-5D6E-409C-BE32-E72D297353CC}">
              <c16:uniqueId val="{00000001-B4C2-4C3A-98FB-2E8FB7BB555A}"/>
            </c:ext>
          </c:extLst>
        </c:ser>
        <c:ser>
          <c:idx val="2"/>
          <c:order val="2"/>
          <c:tx>
            <c:strRef>
              <c:f>'1765-1920 summary table'!$A$37</c:f>
              <c:strCache>
                <c:ptCount val="1"/>
                <c:pt idx="0">
                  <c:v>Publication Costs</c:v>
                </c:pt>
              </c:strCache>
            </c:strRef>
          </c:tx>
          <c:spPr>
            <a:solidFill>
              <a:schemeClr val="accent3"/>
            </a:solidFill>
            <a:ln>
              <a:noFill/>
            </a:ln>
            <a:effectLst/>
          </c:spPr>
          <c:invertIfNegative val="0"/>
          <c:cat>
            <c:numRef>
              <c:f>'1765-1920 summary table'!$I$1:$N$1</c:f>
              <c:numCache>
                <c:formatCode>General</c:formatCode>
                <c:ptCount val="6"/>
                <c:pt idx="0">
                  <c:v>1870</c:v>
                </c:pt>
                <c:pt idx="1">
                  <c:v>1880</c:v>
                </c:pt>
                <c:pt idx="2">
                  <c:v>1890</c:v>
                </c:pt>
                <c:pt idx="3">
                  <c:v>1900</c:v>
                </c:pt>
                <c:pt idx="4">
                  <c:v>1910</c:v>
                </c:pt>
                <c:pt idx="5">
                  <c:v>1920</c:v>
                </c:pt>
              </c:numCache>
            </c:numRef>
          </c:cat>
          <c:val>
            <c:numRef>
              <c:f>'1765-1920 summary table'!$I$37:$N$37</c:f>
              <c:numCache>
                <c:formatCode>_-* #,##0_-;\-* #,##0_-;_-* "-"??_-;_-@_-</c:formatCode>
                <c:ptCount val="6"/>
                <c:pt idx="0">
                  <c:v>488814</c:v>
                </c:pt>
                <c:pt idx="1">
                  <c:v>509215</c:v>
                </c:pt>
                <c:pt idx="2">
                  <c:v>527234</c:v>
                </c:pt>
                <c:pt idx="3">
                  <c:v>483972</c:v>
                </c:pt>
                <c:pt idx="4">
                  <c:v>615168</c:v>
                </c:pt>
                <c:pt idx="5">
                  <c:v>1472169</c:v>
                </c:pt>
              </c:numCache>
            </c:numRef>
          </c:val>
          <c:extLst>
            <c:ext xmlns:c16="http://schemas.microsoft.com/office/drawing/2014/chart" uri="{C3380CC4-5D6E-409C-BE32-E72D297353CC}">
              <c16:uniqueId val="{00000002-B4C2-4C3A-98FB-2E8FB7BB555A}"/>
            </c:ext>
          </c:extLst>
        </c:ser>
        <c:dLbls>
          <c:showLegendKey val="0"/>
          <c:showVal val="0"/>
          <c:showCatName val="0"/>
          <c:showSerName val="0"/>
          <c:showPercent val="0"/>
          <c:showBubbleSize val="0"/>
        </c:dLbls>
        <c:gapWidth val="219"/>
        <c:overlap val="-27"/>
        <c:axId val="290102032"/>
        <c:axId val="290102592"/>
      </c:barChart>
      <c:catAx>
        <c:axId val="29010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102592"/>
        <c:crosses val="autoZero"/>
        <c:auto val="1"/>
        <c:lblAlgn val="ctr"/>
        <c:lblOffset val="100"/>
        <c:noMultiLvlLbl val="0"/>
      </c:catAx>
      <c:valAx>
        <c:axId val="2901025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102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1" i="0" u="none" strike="noStrike" kern="1200" spc="0" baseline="0">
                <a:solidFill>
                  <a:schemeClr val="tx1">
                    <a:lumMod val="65000"/>
                    <a:lumOff val="35000"/>
                  </a:schemeClr>
                </a:solidFill>
                <a:latin typeface="+mn-lt"/>
                <a:ea typeface="+mn-ea"/>
                <a:cs typeface="+mn-cs"/>
              </a:defRPr>
            </a:pPr>
            <a:r>
              <a:rPr lang="en-GB"/>
              <a:t>RS Expenditure, 1765-1900</a:t>
            </a:r>
          </a:p>
        </c:rich>
      </c:tx>
      <c:overlay val="0"/>
      <c:spPr>
        <a:noFill/>
        <a:ln>
          <a:noFill/>
        </a:ln>
        <a:effectLst/>
      </c:spPr>
      <c:txPr>
        <a:bodyPr rot="0" spcFirstLastPara="1" vertOverflow="ellipsis" vert="horz" wrap="square" anchor="ctr" anchorCtr="1"/>
        <a:lstStyle/>
        <a:p>
          <a:pPr>
            <a:defRPr sz="216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'1765-1920 summary table'!$A$14</c:f>
              <c:strCache>
                <c:ptCount val="1"/>
                <c:pt idx="0">
                  <c:v>Establishment Expenses</c:v>
                </c:pt>
              </c:strCache>
            </c:strRef>
          </c:tx>
          <c:spPr>
            <a:solidFill>
              <a:schemeClr val="accent1"/>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table'!$F$1,'1765-1920 summary table'!$H$1,'1765-1920 summary table'!$J$1,'1765-1920 summary table'!$N$1)</c:f>
              <c:numCache>
                <c:formatCode>General</c:formatCode>
                <c:ptCount val="6"/>
                <c:pt idx="0">
                  <c:v>1765</c:v>
                </c:pt>
                <c:pt idx="1">
                  <c:v>1833</c:v>
                </c:pt>
                <c:pt idx="2">
                  <c:v>1840</c:v>
                </c:pt>
                <c:pt idx="3">
                  <c:v>1860</c:v>
                </c:pt>
                <c:pt idx="4">
                  <c:v>1880</c:v>
                </c:pt>
                <c:pt idx="5">
                  <c:v>1920</c:v>
                </c:pt>
              </c:numCache>
            </c:numRef>
          </c:cat>
          <c:val>
            <c:numRef>
              <c:extLst>
                <c:ext xmlns:c15="http://schemas.microsoft.com/office/drawing/2012/chart" uri="{02D57815-91ED-43cb-92C2-25804820EDAC}">
                  <c15:fullRef>
                    <c15:sqref>'1765-1920 summary table'!$B$14:$N$14</c15:sqref>
                  </c15:fullRef>
                </c:ext>
              </c:extLst>
              <c:f>('1765-1920 summary table'!$B$14:$C$14,'1765-1920 summary table'!$F$14,'1765-1920 summary table'!$H$14,'1765-1920 summary table'!$J$14,'1765-1920 summary table'!$N$14)</c:f>
              <c:numCache>
                <c:formatCode>_-* #,##0_-;\-* #,##0_-;_-* "-"??_-;_-@_-</c:formatCode>
                <c:ptCount val="6"/>
                <c:pt idx="0">
                  <c:v>188131</c:v>
                </c:pt>
                <c:pt idx="1">
                  <c:v>175237.5</c:v>
                </c:pt>
                <c:pt idx="2">
                  <c:v>143107</c:v>
                </c:pt>
                <c:pt idx="3">
                  <c:v>121995</c:v>
                </c:pt>
                <c:pt idx="4">
                  <c:v>148023</c:v>
                </c:pt>
                <c:pt idx="5">
                  <c:v>596735</c:v>
                </c:pt>
              </c:numCache>
            </c:numRef>
          </c:val>
          <c:extLst>
            <c:ext xmlns:c16="http://schemas.microsoft.com/office/drawing/2014/chart" uri="{C3380CC4-5D6E-409C-BE32-E72D297353CC}">
              <c16:uniqueId val="{00000000-A71D-43EC-BB5A-AF0097717DEA}"/>
            </c:ext>
          </c:extLst>
        </c:ser>
        <c:ser>
          <c:idx val="1"/>
          <c:order val="1"/>
          <c:tx>
            <c:strRef>
              <c:f>'1765-1920 summary table'!$A$15</c:f>
              <c:strCache>
                <c:ptCount val="1"/>
                <c:pt idx="0">
                  <c:v>Salaries, stipends and pensions</c:v>
                </c:pt>
              </c:strCache>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table'!$F$1,'1765-1920 summary table'!$H$1,'1765-1920 summary table'!$J$1,'1765-1920 summary table'!$N$1)</c:f>
              <c:numCache>
                <c:formatCode>General</c:formatCode>
                <c:ptCount val="6"/>
                <c:pt idx="0">
                  <c:v>1765</c:v>
                </c:pt>
                <c:pt idx="1">
                  <c:v>1833</c:v>
                </c:pt>
                <c:pt idx="2">
                  <c:v>1840</c:v>
                </c:pt>
                <c:pt idx="3">
                  <c:v>1860</c:v>
                </c:pt>
                <c:pt idx="4">
                  <c:v>1880</c:v>
                </c:pt>
                <c:pt idx="5">
                  <c:v>1920</c:v>
                </c:pt>
              </c:numCache>
            </c:numRef>
          </c:cat>
          <c:val>
            <c:numRef>
              <c:extLst>
                <c:ext xmlns:c15="http://schemas.microsoft.com/office/drawing/2012/chart" uri="{02D57815-91ED-43cb-92C2-25804820EDAC}">
                  <c15:fullRef>
                    <c15:sqref>'1765-1920 summary table'!$B$15:$N$15</c15:sqref>
                  </c15:fullRef>
                </c:ext>
              </c:extLst>
              <c:f>('1765-1920 summary table'!$B$15:$C$15,'1765-1920 summary table'!$F$15,'1765-1920 summary table'!$H$15,'1765-1920 summary table'!$J$15,'1765-1920 summary table'!$N$15)</c:f>
              <c:numCache>
                <c:formatCode>_-* #,##0_-;\-* #,##0_-;_-* "-"??_-;_-@_-</c:formatCode>
                <c:ptCount val="6"/>
                <c:pt idx="0">
                  <c:v>55680</c:v>
                </c:pt>
                <c:pt idx="1">
                  <c:v>170124</c:v>
                </c:pt>
                <c:pt idx="2">
                  <c:v>126060</c:v>
                </c:pt>
                <c:pt idx="3">
                  <c:v>247920</c:v>
                </c:pt>
                <c:pt idx="4">
                  <c:v>261501</c:v>
                </c:pt>
                <c:pt idx="5">
                  <c:v>1065815</c:v>
                </c:pt>
              </c:numCache>
            </c:numRef>
          </c:val>
          <c:extLst>
            <c:ext xmlns:c16="http://schemas.microsoft.com/office/drawing/2014/chart" uri="{C3380CC4-5D6E-409C-BE32-E72D297353CC}">
              <c16:uniqueId val="{00000001-A71D-43EC-BB5A-AF0097717DEA}"/>
            </c:ext>
          </c:extLst>
        </c:ser>
        <c:ser>
          <c:idx val="2"/>
          <c:order val="2"/>
          <c:tx>
            <c:strRef>
              <c:f>'1765-1920 summary table'!$A$37</c:f>
              <c:strCache>
                <c:ptCount val="1"/>
                <c:pt idx="0">
                  <c:v>Publication Costs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table'!$F$1,'1765-1920 summary table'!$H$1,'1765-1920 summary table'!$J$1,'1765-1920 summary table'!$N$1)</c:f>
              <c:numCache>
                <c:formatCode>General</c:formatCode>
                <c:ptCount val="6"/>
                <c:pt idx="0">
                  <c:v>1765</c:v>
                </c:pt>
                <c:pt idx="1">
                  <c:v>1833</c:v>
                </c:pt>
                <c:pt idx="2">
                  <c:v>1840</c:v>
                </c:pt>
                <c:pt idx="3">
                  <c:v>1860</c:v>
                </c:pt>
                <c:pt idx="4">
                  <c:v>1880</c:v>
                </c:pt>
                <c:pt idx="5">
                  <c:v>1920</c:v>
                </c:pt>
              </c:numCache>
            </c:numRef>
          </c:cat>
          <c:val>
            <c:numRef>
              <c:extLst>
                <c:ext xmlns:c15="http://schemas.microsoft.com/office/drawing/2012/chart" uri="{02D57815-91ED-43cb-92C2-25804820EDAC}">
                  <c15:fullRef>
                    <c15:sqref>'1765-1920 summary table'!$B$37:$N$37</c15:sqref>
                  </c15:fullRef>
                </c:ext>
              </c:extLst>
              <c:f>('1765-1920 summary table'!$B$37:$C$37,'1765-1920 summary table'!$F$37,'1765-1920 summary table'!$H$37,'1765-1920 summary table'!$J$37,'1765-1920 summary table'!$N$37)</c:f>
              <c:numCache>
                <c:formatCode>_-* #,##0_-;\-* #,##0_-;_-* "-"??_-;_-@_-</c:formatCode>
                <c:ptCount val="6"/>
                <c:pt idx="0">
                  <c:v>49796</c:v>
                </c:pt>
                <c:pt idx="1">
                  <c:v>508319</c:v>
                </c:pt>
                <c:pt idx="2">
                  <c:v>248676</c:v>
                </c:pt>
                <c:pt idx="3">
                  <c:v>410136</c:v>
                </c:pt>
                <c:pt idx="4">
                  <c:v>509215</c:v>
                </c:pt>
                <c:pt idx="5">
                  <c:v>1472169</c:v>
                </c:pt>
              </c:numCache>
            </c:numRef>
          </c:val>
          <c:extLst>
            <c:ext xmlns:c16="http://schemas.microsoft.com/office/drawing/2014/chart" uri="{C3380CC4-5D6E-409C-BE32-E72D297353CC}">
              <c16:uniqueId val="{00000002-A71D-43EC-BB5A-AF0097717DEA}"/>
            </c:ext>
          </c:extLst>
        </c:ser>
        <c:dLbls>
          <c:showLegendKey val="0"/>
          <c:showVal val="0"/>
          <c:showCatName val="0"/>
          <c:showSerName val="0"/>
          <c:showPercent val="0"/>
          <c:showBubbleSize val="0"/>
        </c:dLbls>
        <c:gapWidth val="219"/>
        <c:overlap val="-27"/>
        <c:axId val="209087152"/>
        <c:axId val="209087712"/>
      </c:barChart>
      <c:catAx>
        <c:axId val="20908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crossAx val="209087712"/>
        <c:crosses val="autoZero"/>
        <c:auto val="1"/>
        <c:lblAlgn val="ctr"/>
        <c:lblOffset val="100"/>
        <c:noMultiLvlLbl val="0"/>
      </c:catAx>
      <c:valAx>
        <c:axId val="209087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a:t>Old Pennies</a:t>
                </a:r>
              </a:p>
            </c:rich>
          </c:tx>
          <c:layout>
            <c:manualLayout>
              <c:xMode val="edge"/>
              <c:yMode val="edge"/>
              <c:x val="1.8998554763483701E-2"/>
              <c:y val="0.1312122771527330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crossAx val="209087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b="1"/>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1" i="0" u="none" strike="noStrike" kern="1200" spc="0" baseline="0">
                <a:solidFill>
                  <a:schemeClr val="tx1">
                    <a:lumMod val="65000"/>
                    <a:lumOff val="35000"/>
                  </a:schemeClr>
                </a:solidFill>
                <a:latin typeface="+mn-lt"/>
                <a:ea typeface="+mn-ea"/>
                <a:cs typeface="+mn-cs"/>
              </a:defRPr>
            </a:pPr>
            <a:r>
              <a:rPr lang="en-GB"/>
              <a:t>RS Income Streams, 1765-1900</a:t>
            </a:r>
          </a:p>
        </c:rich>
      </c:tx>
      <c:overlay val="0"/>
      <c:spPr>
        <a:noFill/>
        <a:ln>
          <a:noFill/>
        </a:ln>
        <a:effectLst/>
      </c:spPr>
      <c:txPr>
        <a:bodyPr rot="0" spcFirstLastPara="1" vertOverflow="ellipsis" vert="horz" wrap="square" anchor="ctr" anchorCtr="1"/>
        <a:lstStyle/>
        <a:p>
          <a:pPr>
            <a:defRPr sz="216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'1765-1920 summary table'!$A$4</c:f>
              <c:strCache>
                <c:ptCount val="1"/>
                <c:pt idx="0">
                  <c:v>Fees</c:v>
                </c:pt>
              </c:strCache>
            </c:strRef>
          </c:tx>
          <c:spPr>
            <a:solidFill>
              <a:schemeClr val="accent1"/>
            </a:solidFill>
            <a:ln>
              <a:noFill/>
            </a:ln>
            <a:effectLst/>
          </c:spPr>
          <c:invertIfNegative val="0"/>
          <c:dPt>
            <c:idx val="0"/>
            <c:invertIfNegative val="0"/>
            <c:bubble3D val="0"/>
            <c:spPr>
              <a:pattFill prst="wdDnDiag">
                <a:fgClr>
                  <a:schemeClr val="accent1"/>
                </a:fgClr>
                <a:bgClr>
                  <a:schemeClr val="accent2"/>
                </a:bgClr>
              </a:pattFill>
              <a:ln>
                <a:noFill/>
              </a:ln>
              <a:effectLst/>
            </c:spPr>
            <c:extLst>
              <c:ext xmlns:c16="http://schemas.microsoft.com/office/drawing/2014/chart" uri="{C3380CC4-5D6E-409C-BE32-E72D297353CC}">
                <c16:uniqueId val="{00000001-6C15-4C27-B390-AB146833C43E}"/>
              </c:ext>
            </c:extLst>
          </c:dPt>
          <c:cat>
            <c:numRef>
              <c:extLst>
                <c:ext xmlns:c15="http://schemas.microsoft.com/office/drawing/2012/chart" uri="{02D57815-91ED-43cb-92C2-25804820EDAC}">
                  <c15:fullRef>
                    <c15:sqref>'1765-1920 summary table'!$B$1:$N$1</c15:sqref>
                  </c15:fullRef>
                </c:ext>
              </c:extLst>
              <c:f>('1765-1920 summary table'!$B$1:$C$1,'1765-1920 summary table'!$F$1,'1765-1920 summary table'!$H$1,'1765-1920 summary table'!$J$1,'1765-1920 summary table'!$N$1)</c:f>
              <c:numCache>
                <c:formatCode>General</c:formatCode>
                <c:ptCount val="6"/>
                <c:pt idx="0">
                  <c:v>1765</c:v>
                </c:pt>
                <c:pt idx="1">
                  <c:v>1833</c:v>
                </c:pt>
                <c:pt idx="2">
                  <c:v>1840</c:v>
                </c:pt>
                <c:pt idx="3">
                  <c:v>1860</c:v>
                </c:pt>
                <c:pt idx="4">
                  <c:v>1880</c:v>
                </c:pt>
                <c:pt idx="5">
                  <c:v>1920</c:v>
                </c:pt>
              </c:numCache>
            </c:numRef>
          </c:cat>
          <c:val>
            <c:numRef>
              <c:extLst>
                <c:ext xmlns:c15="http://schemas.microsoft.com/office/drawing/2012/chart" uri="{02D57815-91ED-43cb-92C2-25804820EDAC}">
                  <c15:fullRef>
                    <c15:sqref>'1765-1920 summary table'!$B$4:$N$4</c15:sqref>
                  </c15:fullRef>
                </c:ext>
              </c:extLst>
              <c:f>('1765-1920 summary table'!$B$4:$C$4,'1765-1920 summary table'!$F$4,'1765-1920 summary table'!$H$4,'1765-1920 summary table'!$J$4,'1765-1920 summary table'!$N$4)</c:f>
              <c:numCache>
                <c:formatCode>_-* #,##0_-;\-* #,##0_-;_-* "-"??_-;_-@_-</c:formatCode>
                <c:ptCount val="6"/>
                <c:pt idx="0">
                  <c:v>312401</c:v>
                </c:pt>
                <c:pt idx="1">
                  <c:v>185610</c:v>
                </c:pt>
                <c:pt idx="2">
                  <c:v>316128</c:v>
                </c:pt>
                <c:pt idx="3">
                  <c:v>392208</c:v>
                </c:pt>
                <c:pt idx="4">
                  <c:v>354000</c:v>
                </c:pt>
                <c:pt idx="5">
                  <c:v>404054</c:v>
                </c:pt>
              </c:numCache>
            </c:numRef>
          </c:val>
          <c:extLst>
            <c:ext xmlns:c16="http://schemas.microsoft.com/office/drawing/2014/chart" uri="{C3380CC4-5D6E-409C-BE32-E72D297353CC}">
              <c16:uniqueId val="{00000002-6C15-4C27-B390-AB146833C43E}"/>
            </c:ext>
          </c:extLst>
        </c:ser>
        <c:ser>
          <c:idx val="1"/>
          <c:order val="1"/>
          <c:tx>
            <c:strRef>
              <c:f>'1765-1920 summary table'!$A$5</c:f>
              <c:strCache>
                <c:ptCount val="1"/>
                <c:pt idx="0">
                  <c:v>Investments &amp; Rents</c:v>
                </c:pt>
              </c:strCache>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table'!$F$1,'1765-1920 summary table'!$H$1,'1765-1920 summary table'!$J$1,'1765-1920 summary table'!$N$1)</c:f>
              <c:numCache>
                <c:formatCode>General</c:formatCode>
                <c:ptCount val="6"/>
                <c:pt idx="0">
                  <c:v>1765</c:v>
                </c:pt>
                <c:pt idx="1">
                  <c:v>1833</c:v>
                </c:pt>
                <c:pt idx="2">
                  <c:v>1840</c:v>
                </c:pt>
                <c:pt idx="3">
                  <c:v>1860</c:v>
                </c:pt>
                <c:pt idx="4">
                  <c:v>1880</c:v>
                </c:pt>
                <c:pt idx="5">
                  <c:v>1920</c:v>
                </c:pt>
              </c:numCache>
            </c:numRef>
          </c:cat>
          <c:val>
            <c:numRef>
              <c:extLst>
                <c:ext xmlns:c15="http://schemas.microsoft.com/office/drawing/2012/chart" uri="{02D57815-91ED-43cb-92C2-25804820EDAC}">
                  <c15:fullRef>
                    <c15:sqref>'1765-1920 summary table'!$B$5:$N$5</c15:sqref>
                  </c15:fullRef>
                </c:ext>
              </c:extLst>
              <c:f>('1765-1920 summary table'!$B$5:$C$5,'1765-1920 summary table'!$F$5,'1765-1920 summary table'!$H$5,'1765-1920 summary table'!$J$5,'1765-1920 summary table'!$N$5)</c:f>
              <c:numCache>
                <c:formatCode>_-* #,##0_-;\-* #,##0_-;_-* "-"??_-;_-@_-</c:formatCode>
                <c:ptCount val="6"/>
                <c:pt idx="0">
                  <c:v>0</c:v>
                </c:pt>
                <c:pt idx="1">
                  <c:v>232238</c:v>
                </c:pt>
                <c:pt idx="2">
                  <c:v>221029</c:v>
                </c:pt>
                <c:pt idx="3">
                  <c:v>339305</c:v>
                </c:pt>
                <c:pt idx="4">
                  <c:v>464251</c:v>
                </c:pt>
                <c:pt idx="5">
                  <c:v>1221299</c:v>
                </c:pt>
              </c:numCache>
            </c:numRef>
          </c:val>
          <c:extLst>
            <c:ext xmlns:c16="http://schemas.microsoft.com/office/drawing/2014/chart" uri="{C3380CC4-5D6E-409C-BE32-E72D297353CC}">
              <c16:uniqueId val="{00000003-6C15-4C27-B390-AB146833C43E}"/>
            </c:ext>
          </c:extLst>
        </c:ser>
        <c:ser>
          <c:idx val="2"/>
          <c:order val="2"/>
          <c:tx>
            <c:strRef>
              <c:f>'1765-1920 summary table'!$A$28</c:f>
              <c:strCache>
                <c:ptCount val="1"/>
                <c:pt idx="0">
                  <c:v>Publication Sales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table'!$F$1,'1765-1920 summary table'!$H$1,'1765-1920 summary table'!$J$1,'1765-1920 summary table'!$N$1)</c:f>
              <c:numCache>
                <c:formatCode>General</c:formatCode>
                <c:ptCount val="6"/>
                <c:pt idx="0">
                  <c:v>1765</c:v>
                </c:pt>
                <c:pt idx="1">
                  <c:v>1833</c:v>
                </c:pt>
                <c:pt idx="2">
                  <c:v>1840</c:v>
                </c:pt>
                <c:pt idx="3">
                  <c:v>1860</c:v>
                </c:pt>
                <c:pt idx="4">
                  <c:v>1880</c:v>
                </c:pt>
                <c:pt idx="5">
                  <c:v>1920</c:v>
                </c:pt>
              </c:numCache>
            </c:numRef>
          </c:cat>
          <c:val>
            <c:numRef>
              <c:extLst>
                <c:ext xmlns:c15="http://schemas.microsoft.com/office/drawing/2012/chart" uri="{02D57815-91ED-43cb-92C2-25804820EDAC}">
                  <c15:fullRef>
                    <c15:sqref>'1765-1920 summary table'!$B$28:$N$28</c15:sqref>
                  </c15:fullRef>
                </c:ext>
              </c:extLst>
              <c:f>('1765-1920 summary table'!$B$28:$C$28,'1765-1920 summary table'!$F$28,'1765-1920 summary table'!$H$28,'1765-1920 summary table'!$J$28,'1765-1920 summary table'!$N$28)</c:f>
              <c:numCache>
                <c:formatCode>_-* #,##0_-;\-* #,##0_-;_-* "-"??_-;_-@_-</c:formatCode>
                <c:ptCount val="6"/>
                <c:pt idx="0">
                  <c:v>18960</c:v>
                </c:pt>
                <c:pt idx="1">
                  <c:v>122130</c:v>
                </c:pt>
                <c:pt idx="2">
                  <c:v>69108</c:v>
                </c:pt>
                <c:pt idx="3">
                  <c:v>91296</c:v>
                </c:pt>
                <c:pt idx="4">
                  <c:v>189498</c:v>
                </c:pt>
                <c:pt idx="5">
                  <c:v>324264</c:v>
                </c:pt>
              </c:numCache>
            </c:numRef>
          </c:val>
          <c:extLst>
            <c:ext xmlns:c16="http://schemas.microsoft.com/office/drawing/2014/chart" uri="{C3380CC4-5D6E-409C-BE32-E72D297353CC}">
              <c16:uniqueId val="{00000004-6C15-4C27-B390-AB146833C43E}"/>
            </c:ext>
          </c:extLst>
        </c:ser>
        <c:dLbls>
          <c:showLegendKey val="0"/>
          <c:showVal val="0"/>
          <c:showCatName val="0"/>
          <c:showSerName val="0"/>
          <c:showPercent val="0"/>
          <c:showBubbleSize val="0"/>
        </c:dLbls>
        <c:gapWidth val="219"/>
        <c:overlap val="-27"/>
        <c:axId val="209091808"/>
        <c:axId val="211968080"/>
      </c:barChart>
      <c:catAx>
        <c:axId val="20909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crossAx val="211968080"/>
        <c:crosses val="autoZero"/>
        <c:auto val="1"/>
        <c:lblAlgn val="ctr"/>
        <c:lblOffset val="100"/>
        <c:noMultiLvlLbl val="0"/>
      </c:catAx>
      <c:valAx>
        <c:axId val="211968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a:t>Old Pennies</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crossAx val="20909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b="1"/>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Royal Society Income from Investments and Rents,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'1765-1920 summary table'!$A$5</c:f>
              <c:strCache>
                <c:ptCount val="1"/>
                <c:pt idx="0">
                  <c:v>Investments &amp; Rents</c:v>
                </c:pt>
              </c:strCache>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table'!$B$5:$N$5</c15:sqref>
                  </c15:fullRef>
                </c:ext>
              </c:extLst>
              <c:f>('1765-1920 summary table'!$B$5:$C$5,'1765-1920 summary table'!$F$5:$L$5)</c:f>
              <c:numCache>
                <c:formatCode>_-* #,##0_-;\-* #,##0_-;_-* "-"??_-;_-@_-</c:formatCode>
                <c:ptCount val="9"/>
                <c:pt idx="0">
                  <c:v>0</c:v>
                </c:pt>
                <c:pt idx="1">
                  <c:v>232238</c:v>
                </c:pt>
                <c:pt idx="2">
                  <c:v>221029</c:v>
                </c:pt>
                <c:pt idx="3">
                  <c:v>432631</c:v>
                </c:pt>
                <c:pt idx="4">
                  <c:v>339305</c:v>
                </c:pt>
                <c:pt idx="5">
                  <c:v>415600</c:v>
                </c:pt>
                <c:pt idx="6">
                  <c:v>464251</c:v>
                </c:pt>
                <c:pt idx="7">
                  <c:v>794435</c:v>
                </c:pt>
                <c:pt idx="8">
                  <c:v>801548</c:v>
                </c:pt>
              </c:numCache>
            </c:numRef>
          </c:val>
          <c:extLst>
            <c:ext xmlns:c16="http://schemas.microsoft.com/office/drawing/2014/chart" uri="{C3380CC4-5D6E-409C-BE32-E72D297353CC}">
              <c16:uniqueId val="{00000000-A600-49F6-8C09-AF934461B7E2}"/>
            </c:ext>
          </c:extLst>
        </c:ser>
        <c:dLbls>
          <c:showLegendKey val="0"/>
          <c:showVal val="0"/>
          <c:showCatName val="0"/>
          <c:showSerName val="0"/>
          <c:showPercent val="0"/>
          <c:showBubbleSize val="0"/>
        </c:dLbls>
        <c:gapWidth val="219"/>
        <c:overlap val="-27"/>
        <c:axId val="95526848"/>
        <c:axId val="95527408"/>
        <c:extLst>
          <c:ext xmlns:c15="http://schemas.microsoft.com/office/drawing/2012/chart" uri="{02D57815-91ED-43cb-92C2-25804820EDAC}">
            <c15:filteredBarSeries>
              <c15:ser>
                <c:idx val="0"/>
                <c:order val="0"/>
                <c:tx>
                  <c:strRef>
                    <c:extLst>
                      <c:ext uri="{02D57815-91ED-43cb-92C2-25804820EDAC}">
                        <c15:formulaRef>
                          <c15:sqref>'1765-1920 summary table'!$A$4</c15:sqref>
                        </c15:formulaRef>
                      </c:ext>
                    </c:extLst>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2-A600-49F6-8C09-AF934461B7E2}"/>
                    </c:ext>
                  </c:extLst>
                </c:dPt>
                <c:cat>
                  <c:numRef>
                    <c:extLst>
                      <c:ex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uri="{02D57815-91ED-43cb-92C2-25804820EDAC}">
                        <c15:fullRef>
                          <c15:sqref>'1765-1920 summary table'!$B$4:$N$4</c15:sqref>
                        </c15:fullRef>
                        <c15:formulaRef>
                          <c15:sqref>('1765-1920 summary table'!$B$4:$C$4,'1765-1920 summary table'!$F$4:$L$4)</c15:sqref>
                        </c15:formulaRef>
                      </c:ext>
                    </c:extLst>
                    <c:numCache>
                      <c:formatCode>_-* #,##0_-;\-* #,##0_-;_-* "-"??_-;_-@_-</c:formatCode>
                      <c:ptCount val="9"/>
                      <c:pt idx="0">
                        <c:v>312401</c:v>
                      </c:pt>
                      <c:pt idx="1">
                        <c:v>185610</c:v>
                      </c:pt>
                      <c:pt idx="2">
                        <c:v>316128</c:v>
                      </c:pt>
                      <c:pt idx="3">
                        <c:v>383088</c:v>
                      </c:pt>
                      <c:pt idx="4">
                        <c:v>392208</c:v>
                      </c:pt>
                      <c:pt idx="5">
                        <c:v>363888</c:v>
                      </c:pt>
                      <c:pt idx="6">
                        <c:v>354000</c:v>
                      </c:pt>
                      <c:pt idx="7">
                        <c:v>366240</c:v>
                      </c:pt>
                      <c:pt idx="8">
                        <c:v>372000</c:v>
                      </c:pt>
                    </c:numCache>
                  </c:numRef>
                </c:val>
                <c:extLst>
                  <c:ext xmlns:c16="http://schemas.microsoft.com/office/drawing/2014/chart" uri="{C3380CC4-5D6E-409C-BE32-E72D297353CC}">
                    <c16:uniqueId val="{00000003-A600-49F6-8C09-AF934461B7E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'1765-1920 summary table'!$A$28</c15:sqref>
                        </c15:formulaRef>
                      </c:ext>
                    </c:extLst>
                    <c:strCache>
                      <c:ptCount val="1"/>
                      <c:pt idx="0">
                        <c:v>Publication Sales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table'!$B$28:$N$28</c15:sqref>
                        </c15:fullRef>
                        <c15:formulaRef>
                          <c15:sqref>('1765-1920 summary table'!$B$28:$C$28,'1765-1920 summary table'!$F$28:$L$28)</c15:sqref>
                        </c15:formulaRef>
                      </c:ext>
                    </c:extLst>
                    <c:numCache>
                      <c:formatCode>_-* #,##0_-;\-* #,##0_-;_-* "-"??_-;_-@_-</c:formatCode>
                      <c:ptCount val="9"/>
                      <c:pt idx="0">
                        <c:v>18960</c:v>
                      </c:pt>
                      <c:pt idx="1">
                        <c:v>122130</c:v>
                      </c:pt>
                      <c:pt idx="2">
                        <c:v>69108</c:v>
                      </c:pt>
                      <c:pt idx="3">
                        <c:v>71631</c:v>
                      </c:pt>
                      <c:pt idx="4">
                        <c:v>91296</c:v>
                      </c:pt>
                      <c:pt idx="5">
                        <c:v>149508</c:v>
                      </c:pt>
                      <c:pt idx="6">
                        <c:v>189498</c:v>
                      </c:pt>
                      <c:pt idx="7">
                        <c:v>158202</c:v>
                      </c:pt>
                      <c:pt idx="8">
                        <c:v>169992</c:v>
                      </c:pt>
                    </c:numCache>
                  </c:numRef>
                </c:val>
                <c:extLst>
                  <c:ext xmlns:c16="http://schemas.microsoft.com/office/drawing/2014/chart" uri="{C3380CC4-5D6E-409C-BE32-E72D297353CC}">
                    <c16:uniqueId val="{00000004-A600-49F6-8C09-AF934461B7E2}"/>
                  </c:ext>
                </c:extLst>
              </c15:ser>
            </c15:filteredBarSeries>
          </c:ext>
        </c:extLst>
      </c:barChart>
      <c:catAx>
        <c:axId val="9552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527408"/>
        <c:crosses val="autoZero"/>
        <c:auto val="1"/>
        <c:lblAlgn val="ctr"/>
        <c:lblOffset val="100"/>
        <c:noMultiLvlLbl val="0"/>
      </c:catAx>
      <c:valAx>
        <c:axId val="9552740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52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Royal Society Income from Membership fees,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'1765-1920 summary table'!$A$4</c:f>
              <c:strCache>
                <c:ptCount val="1"/>
                <c:pt idx="0">
                  <c:v>Fees</c:v>
                </c:pt>
              </c:strCache>
              <c:extLst xmlns:c15="http://schemas.microsoft.com/office/drawing/2012/chart"/>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1-29C8-468D-B010-F03FE409E8CA}"/>
              </c:ext>
            </c:extLst>
          </c:dPt>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table'!$B$4:$N$4</c15:sqref>
                  </c15:fullRef>
                </c:ext>
              </c:extLst>
              <c:f>('1765-1920 summary table'!$B$4:$C$4,'1765-1920 summary table'!$F$4:$L$4)</c:f>
              <c:numCache>
                <c:formatCode>_-* #,##0_-;\-* #,##0_-;_-* "-"??_-;_-@_-</c:formatCode>
                <c:ptCount val="9"/>
                <c:pt idx="0">
                  <c:v>312401</c:v>
                </c:pt>
                <c:pt idx="1">
                  <c:v>185610</c:v>
                </c:pt>
                <c:pt idx="2">
                  <c:v>316128</c:v>
                </c:pt>
                <c:pt idx="3">
                  <c:v>383088</c:v>
                </c:pt>
                <c:pt idx="4">
                  <c:v>392208</c:v>
                </c:pt>
                <c:pt idx="5">
                  <c:v>363888</c:v>
                </c:pt>
                <c:pt idx="6">
                  <c:v>354000</c:v>
                </c:pt>
                <c:pt idx="7">
                  <c:v>366240</c:v>
                </c:pt>
                <c:pt idx="8">
                  <c:v>372000</c:v>
                </c:pt>
              </c:numCache>
            </c:numRef>
          </c:val>
          <c:extLst>
            <c:ext xmlns:c16="http://schemas.microsoft.com/office/drawing/2014/chart" uri="{C3380CC4-5D6E-409C-BE32-E72D297353CC}">
              <c16:uniqueId val="{00000002-29C8-468D-B010-F03FE409E8CA}"/>
            </c:ext>
          </c:extLst>
        </c:ser>
        <c:dLbls>
          <c:showLegendKey val="0"/>
          <c:showVal val="0"/>
          <c:showCatName val="0"/>
          <c:showSerName val="0"/>
          <c:showPercent val="0"/>
          <c:showBubbleSize val="0"/>
        </c:dLbls>
        <c:gapWidth val="219"/>
        <c:overlap val="-27"/>
        <c:axId val="183124272"/>
        <c:axId val="183124832"/>
        <c:extLst>
          <c:ext xmlns:c15="http://schemas.microsoft.com/office/drawing/2012/chart" uri="{02D57815-91ED-43cb-92C2-25804820EDAC}">
            <c15:filteredBarSeries>
              <c15:ser>
                <c:idx val="1"/>
                <c:order val="1"/>
                <c:tx>
                  <c:strRef>
                    <c:extLst>
                      <c:ext uri="{02D57815-91ED-43cb-92C2-25804820EDAC}">
                        <c15:formulaRef>
                          <c15:sqref>'1765-1920 summary table'!$A$5</c15:sqref>
                        </c15:formulaRef>
                      </c:ext>
                    </c:extLst>
                    <c:strCache>
                      <c:ptCount val="1"/>
                      <c:pt idx="0">
                        <c:v>Investments &amp; Rents</c:v>
                      </c:pt>
                    </c:strCache>
                  </c:strRef>
                </c:tx>
                <c:spPr>
                  <a:solidFill>
                    <a:schemeClr val="accent2"/>
                  </a:solidFill>
                  <a:ln>
                    <a:noFill/>
                  </a:ln>
                  <a:effectLst/>
                </c:spPr>
                <c:invertIfNegative val="0"/>
                <c:cat>
                  <c:numRef>
                    <c:extLst>
                      <c:ex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uri="{02D57815-91ED-43cb-92C2-25804820EDAC}">
                        <c15:fullRef>
                          <c15:sqref>'1765-1920 summary table'!$B$5:$N$5</c15:sqref>
                        </c15:fullRef>
                        <c15:formulaRef>
                          <c15:sqref>('1765-1920 summary table'!$B$5:$C$5,'1765-1920 summary table'!$F$5:$L$5)</c15:sqref>
                        </c15:formulaRef>
                      </c:ext>
                    </c:extLst>
                    <c:numCache>
                      <c:formatCode>_-* #,##0_-;\-* #,##0_-;_-* "-"??_-;_-@_-</c:formatCode>
                      <c:ptCount val="9"/>
                      <c:pt idx="0">
                        <c:v>0</c:v>
                      </c:pt>
                      <c:pt idx="1">
                        <c:v>232238</c:v>
                      </c:pt>
                      <c:pt idx="2">
                        <c:v>221029</c:v>
                      </c:pt>
                      <c:pt idx="3">
                        <c:v>432631</c:v>
                      </c:pt>
                      <c:pt idx="4">
                        <c:v>339305</c:v>
                      </c:pt>
                      <c:pt idx="5">
                        <c:v>415600</c:v>
                      </c:pt>
                      <c:pt idx="6">
                        <c:v>464251</c:v>
                      </c:pt>
                      <c:pt idx="7">
                        <c:v>794435</c:v>
                      </c:pt>
                      <c:pt idx="8">
                        <c:v>801548</c:v>
                      </c:pt>
                    </c:numCache>
                  </c:numRef>
                </c:val>
                <c:extLst>
                  <c:ext xmlns:c16="http://schemas.microsoft.com/office/drawing/2014/chart" uri="{C3380CC4-5D6E-409C-BE32-E72D297353CC}">
                    <c16:uniqueId val="{00000003-29C8-468D-B010-F03FE409E8CA}"/>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'1765-1920 summary table'!$A$28</c15:sqref>
                        </c15:formulaRef>
                      </c:ext>
                    </c:extLst>
                    <c:strCache>
                      <c:ptCount val="1"/>
                      <c:pt idx="0">
                        <c:v>Publication Sales</c:v>
                      </c:pt>
                    </c:strCache>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table'!$B$28:$N$28</c15:sqref>
                        </c15:fullRef>
                        <c15:formulaRef>
                          <c15:sqref>('1765-1920 summary table'!$B$28:$C$28,'1765-1920 summary table'!$F$28:$L$28)</c15:sqref>
                        </c15:formulaRef>
                      </c:ext>
                    </c:extLst>
                    <c:numCache>
                      <c:formatCode>_-* #,##0_-;\-* #,##0_-;_-* "-"??_-;_-@_-</c:formatCode>
                      <c:ptCount val="9"/>
                      <c:pt idx="0">
                        <c:v>18960</c:v>
                      </c:pt>
                      <c:pt idx="1">
                        <c:v>122130</c:v>
                      </c:pt>
                      <c:pt idx="2">
                        <c:v>69108</c:v>
                      </c:pt>
                      <c:pt idx="3">
                        <c:v>71631</c:v>
                      </c:pt>
                      <c:pt idx="4">
                        <c:v>91296</c:v>
                      </c:pt>
                      <c:pt idx="5">
                        <c:v>149508</c:v>
                      </c:pt>
                      <c:pt idx="6">
                        <c:v>189498</c:v>
                      </c:pt>
                      <c:pt idx="7">
                        <c:v>158202</c:v>
                      </c:pt>
                      <c:pt idx="8">
                        <c:v>169992</c:v>
                      </c:pt>
                    </c:numCache>
                  </c:numRef>
                </c:val>
                <c:extLst>
                  <c:ext xmlns:c16="http://schemas.microsoft.com/office/drawing/2014/chart" uri="{C3380CC4-5D6E-409C-BE32-E72D297353CC}">
                    <c16:uniqueId val="{00000004-29C8-468D-B010-F03FE409E8CA}"/>
                  </c:ext>
                </c:extLst>
              </c15:ser>
            </c15:filteredBarSeries>
          </c:ext>
        </c:extLst>
      </c:barChart>
      <c:catAx>
        <c:axId val="18312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24832"/>
        <c:crosses val="autoZero"/>
        <c:auto val="1"/>
        <c:lblAlgn val="ctr"/>
        <c:lblOffset val="100"/>
        <c:noMultiLvlLbl val="0"/>
      </c:catAx>
      <c:valAx>
        <c:axId val="18312483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24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Royal Society Income from Sales</a:t>
            </a:r>
            <a:r>
              <a:rPr lang="en-GB" baseline="0"/>
              <a:t> of Publications</a:t>
            </a:r>
            <a:r>
              <a:rPr lang="en-GB"/>
              <a:t>, 1765-1900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'1765-1920 summary table'!$A$28</c:f>
              <c:strCache>
                <c:ptCount val="1"/>
                <c:pt idx="0">
                  <c:v>Publication Sales</c:v>
                </c:pt>
              </c:strCache>
              <c:extLst xmlns:c15="http://schemas.microsoft.com/office/drawing/2012/chart"/>
            </c:strRef>
          </c:tx>
          <c:spPr>
            <a:solidFill>
              <a:schemeClr val="accent3"/>
            </a:solidFill>
            <a:ln>
              <a:noFill/>
            </a:ln>
            <a:effectLst/>
          </c:spPr>
          <c:invertIfNegative val="0"/>
          <c:cat>
            <c:numRef>
              <c:extLst>
                <c:ext xmlns:c15="http://schemas.microsoft.com/office/drawing/2012/chart" uri="{02D57815-91ED-43cb-92C2-25804820EDAC}">
                  <c15:fullRef>
                    <c15:sqref>'1765-1920 summary table'!$B$1:$N$1</c15:sqref>
                  </c15:fullRef>
                </c:ext>
              </c:extLst>
              <c:f>('1765-1920 summary table'!$B$1:$C$1,'1765-1920 summary table'!$F$1:$L$1)</c:f>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table'!$B$28:$N$28</c15:sqref>
                  </c15:fullRef>
                </c:ext>
              </c:extLst>
              <c:f>('1765-1920 summary table'!$B$28:$C$28,'1765-1920 summary table'!$F$28:$L$28)</c:f>
              <c:numCache>
                <c:formatCode>_-* #,##0_-;\-* #,##0_-;_-* "-"??_-;_-@_-</c:formatCode>
                <c:ptCount val="9"/>
                <c:pt idx="0">
                  <c:v>18960</c:v>
                </c:pt>
                <c:pt idx="1">
                  <c:v>122130</c:v>
                </c:pt>
                <c:pt idx="2">
                  <c:v>69108</c:v>
                </c:pt>
                <c:pt idx="3">
                  <c:v>71631</c:v>
                </c:pt>
                <c:pt idx="4">
                  <c:v>91296</c:v>
                </c:pt>
                <c:pt idx="5">
                  <c:v>149508</c:v>
                </c:pt>
                <c:pt idx="6">
                  <c:v>189498</c:v>
                </c:pt>
                <c:pt idx="7">
                  <c:v>158202</c:v>
                </c:pt>
                <c:pt idx="8">
                  <c:v>169992</c:v>
                </c:pt>
              </c:numCache>
            </c:numRef>
          </c:val>
          <c:extLst>
            <c:ext xmlns:c16="http://schemas.microsoft.com/office/drawing/2014/chart" uri="{C3380CC4-5D6E-409C-BE32-E72D297353CC}">
              <c16:uniqueId val="{00000000-20C9-43E7-858C-D8FA11619525}"/>
            </c:ext>
          </c:extLst>
        </c:ser>
        <c:dLbls>
          <c:showLegendKey val="0"/>
          <c:showVal val="0"/>
          <c:showCatName val="0"/>
          <c:showSerName val="0"/>
          <c:showPercent val="0"/>
          <c:showBubbleSize val="0"/>
        </c:dLbls>
        <c:gapWidth val="219"/>
        <c:overlap val="-27"/>
        <c:axId val="183749984"/>
        <c:axId val="183750544"/>
        <c:extLst>
          <c:ext xmlns:c15="http://schemas.microsoft.com/office/drawing/2012/chart" uri="{02D57815-91ED-43cb-92C2-25804820EDAC}">
            <c15:filteredBarSeries>
              <c15:ser>
                <c:idx val="0"/>
                <c:order val="0"/>
                <c:tx>
                  <c:strRef>
                    <c:extLst>
                      <c:ext uri="{02D57815-91ED-43cb-92C2-25804820EDAC}">
                        <c15:formulaRef>
                          <c15:sqref>'1765-1920 summary table'!$A$4</c15:sqref>
                        </c15:formulaRef>
                      </c:ext>
                    </c:extLst>
                    <c:strCache>
                      <c:ptCount val="1"/>
                      <c:pt idx="0">
                        <c:v>Fees</c:v>
                      </c:pt>
                    </c:strCache>
                  </c:strRef>
                </c:tx>
                <c:spPr>
                  <a:solidFill>
                    <a:schemeClr val="accent1"/>
                  </a:solidFill>
                  <a:ln>
                    <a:noFill/>
                  </a:ln>
                  <a:effectLst/>
                </c:spPr>
                <c:invertIfNegative val="0"/>
                <c:dPt>
                  <c:idx val="0"/>
                  <c:invertIfNegative val="0"/>
                  <c:bubble3D val="0"/>
                  <c:spPr>
                    <a:pattFill prst="wdUpDiag">
                      <a:fgClr>
                        <a:schemeClr val="accent1"/>
                      </a:fgClr>
                      <a:bgClr>
                        <a:srgbClr val="C00000"/>
                      </a:bgClr>
                    </a:pattFill>
                    <a:ln>
                      <a:noFill/>
                    </a:ln>
                    <a:effectLst/>
                  </c:spPr>
                  <c:extLst>
                    <c:ext xmlns:c16="http://schemas.microsoft.com/office/drawing/2014/chart" uri="{C3380CC4-5D6E-409C-BE32-E72D297353CC}">
                      <c16:uniqueId val="{00000002-20C9-43E7-858C-D8FA11619525}"/>
                    </c:ext>
                  </c:extLst>
                </c:dPt>
                <c:cat>
                  <c:numRef>
                    <c:extLst>
                      <c:ex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uri="{02D57815-91ED-43cb-92C2-25804820EDAC}">
                        <c15:fullRef>
                          <c15:sqref>'1765-1920 summary table'!$B$4:$N$4</c15:sqref>
                        </c15:fullRef>
                        <c15:formulaRef>
                          <c15:sqref>('1765-1920 summary table'!$B$4:$C$4,'1765-1920 summary table'!$F$4:$L$4)</c15:sqref>
                        </c15:formulaRef>
                      </c:ext>
                    </c:extLst>
                    <c:numCache>
                      <c:formatCode>_-* #,##0_-;\-* #,##0_-;_-* "-"??_-;_-@_-</c:formatCode>
                      <c:ptCount val="9"/>
                      <c:pt idx="0">
                        <c:v>312401</c:v>
                      </c:pt>
                      <c:pt idx="1">
                        <c:v>185610</c:v>
                      </c:pt>
                      <c:pt idx="2">
                        <c:v>316128</c:v>
                      </c:pt>
                      <c:pt idx="3">
                        <c:v>383088</c:v>
                      </c:pt>
                      <c:pt idx="4">
                        <c:v>392208</c:v>
                      </c:pt>
                      <c:pt idx="5">
                        <c:v>363888</c:v>
                      </c:pt>
                      <c:pt idx="6">
                        <c:v>354000</c:v>
                      </c:pt>
                      <c:pt idx="7">
                        <c:v>366240</c:v>
                      </c:pt>
                      <c:pt idx="8">
                        <c:v>372000</c:v>
                      </c:pt>
                    </c:numCache>
                  </c:numRef>
                </c:val>
                <c:extLst>
                  <c:ext xmlns:c16="http://schemas.microsoft.com/office/drawing/2014/chart" uri="{C3380CC4-5D6E-409C-BE32-E72D297353CC}">
                    <c16:uniqueId val="{00000003-20C9-43E7-858C-D8FA1161952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'1765-1920 summary table'!$A$5</c15:sqref>
                        </c15:formulaRef>
                      </c:ext>
                    </c:extLst>
                    <c:strCache>
                      <c:ptCount val="1"/>
                      <c:pt idx="0">
                        <c:v>Investments &amp; Rents</c:v>
                      </c:pt>
                    </c:strCache>
                  </c:strRef>
                </c:tx>
                <c:spPr>
                  <a:solidFill>
                    <a:schemeClr val="accent2"/>
                  </a:solidFill>
                  <a:ln>
                    <a:noFill/>
                  </a:ln>
                  <a:effectLst/>
                </c:spPr>
                <c:invertIfNegative val="0"/>
                <c:cat>
                  <c:numRef>
                    <c:extLst>
                      <c:ext xmlns:c15="http://schemas.microsoft.com/office/drawing/2012/chart" uri="{02D57815-91ED-43cb-92C2-25804820EDAC}">
                        <c15:fullRef>
                          <c15:sqref>'1765-1920 summary table'!$B$1:$N$1</c15:sqref>
                        </c15:fullRef>
                        <c15:formulaRef>
                          <c15:sqref>('1765-1920 summary table'!$B$1:$C$1,'1765-1920 summary table'!$F$1:$L$1)</c15:sqref>
                        </c15:formulaRef>
                      </c:ext>
                    </c:extLst>
                    <c:numCache>
                      <c:formatCode>General</c:formatCode>
                      <c:ptCount val="9"/>
                      <c:pt idx="0">
                        <c:v>1765</c:v>
                      </c:pt>
                      <c:pt idx="1">
                        <c:v>1833</c:v>
                      </c:pt>
                      <c:pt idx="2">
                        <c:v>1840</c:v>
                      </c:pt>
                      <c:pt idx="3">
                        <c:v>1850</c:v>
                      </c:pt>
                      <c:pt idx="4">
                        <c:v>1860</c:v>
                      </c:pt>
                      <c:pt idx="5">
                        <c:v>1870</c:v>
                      </c:pt>
                      <c:pt idx="6">
                        <c:v>1880</c:v>
                      </c:pt>
                      <c:pt idx="7">
                        <c:v>1890</c:v>
                      </c:pt>
                      <c:pt idx="8">
                        <c:v>1900</c:v>
                      </c:pt>
                    </c:numCache>
                  </c:numRef>
                </c:cat>
                <c:val>
                  <c:numRef>
                    <c:extLst>
                      <c:ext xmlns:c15="http://schemas.microsoft.com/office/drawing/2012/chart" uri="{02D57815-91ED-43cb-92C2-25804820EDAC}">
                        <c15:fullRef>
                          <c15:sqref>'1765-1920 summary table'!$B$5:$N$5</c15:sqref>
                        </c15:fullRef>
                        <c15:formulaRef>
                          <c15:sqref>('1765-1920 summary table'!$B$5:$C$5,'1765-1920 summary table'!$F$5:$L$5)</c15:sqref>
                        </c15:formulaRef>
                      </c:ext>
                    </c:extLst>
                    <c:numCache>
                      <c:formatCode>_-* #,##0_-;\-* #,##0_-;_-* "-"??_-;_-@_-</c:formatCode>
                      <c:ptCount val="9"/>
                      <c:pt idx="0">
                        <c:v>0</c:v>
                      </c:pt>
                      <c:pt idx="1">
                        <c:v>232238</c:v>
                      </c:pt>
                      <c:pt idx="2">
                        <c:v>221029</c:v>
                      </c:pt>
                      <c:pt idx="3">
                        <c:v>432631</c:v>
                      </c:pt>
                      <c:pt idx="4">
                        <c:v>339305</c:v>
                      </c:pt>
                      <c:pt idx="5">
                        <c:v>415600</c:v>
                      </c:pt>
                      <c:pt idx="6">
                        <c:v>464251</c:v>
                      </c:pt>
                      <c:pt idx="7">
                        <c:v>794435</c:v>
                      </c:pt>
                      <c:pt idx="8">
                        <c:v>801548</c:v>
                      </c:pt>
                    </c:numCache>
                  </c:numRef>
                </c:val>
                <c:extLst>
                  <c:ext xmlns:c16="http://schemas.microsoft.com/office/drawing/2014/chart" uri="{C3380CC4-5D6E-409C-BE32-E72D297353CC}">
                    <c16:uniqueId val="{00000004-20C9-43E7-858C-D8FA11619525}"/>
                  </c:ext>
                </c:extLst>
              </c15:ser>
            </c15:filteredBarSeries>
          </c:ext>
        </c:extLst>
      </c:barChart>
      <c:catAx>
        <c:axId val="18374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50544"/>
        <c:crosses val="autoZero"/>
        <c:auto val="1"/>
        <c:lblAlgn val="ctr"/>
        <c:lblOffset val="100"/>
        <c:noMultiLvlLbl val="0"/>
      </c:catAx>
      <c:valAx>
        <c:axId val="1837505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749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15</xdr:col>
      <xdr:colOff>23811</xdr:colOff>
      <xdr:row>2</xdr:row>
      <xdr:rowOff>9525</xdr:rowOff>
    </xdr:from>
    <xdr:to>
      <xdr:col>26</xdr:col>
      <xdr:colOff>66674</xdr:colOff>
      <xdr:row>20</xdr:row>
      <xdr:rowOff>66675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604836</xdr:colOff>
      <xdr:row>21</xdr:row>
      <xdr:rowOff>38099</xdr:rowOff>
    </xdr:from>
    <xdr:to>
      <xdr:col>25</xdr:col>
      <xdr:colOff>600075</xdr:colOff>
      <xdr:row>43</xdr:row>
      <xdr:rowOff>85724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608134</xdr:colOff>
      <xdr:row>1</xdr:row>
      <xdr:rowOff>241788</xdr:rowOff>
    </xdr:from>
    <xdr:to>
      <xdr:col>38</xdr:col>
      <xdr:colOff>42863</xdr:colOff>
      <xdr:row>20</xdr:row>
      <xdr:rowOff>57150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608134</xdr:colOff>
      <xdr:row>20</xdr:row>
      <xdr:rowOff>190500</xdr:rowOff>
    </xdr:from>
    <xdr:to>
      <xdr:col>37</xdr:col>
      <xdr:colOff>603373</xdr:colOff>
      <xdr:row>43</xdr:row>
      <xdr:rowOff>47625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44</xdr:row>
      <xdr:rowOff>0</xdr:rowOff>
    </xdr:from>
    <xdr:to>
      <xdr:col>25</xdr:col>
      <xdr:colOff>603373</xdr:colOff>
      <xdr:row>66</xdr:row>
      <xdr:rowOff>150202</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0</xdr:colOff>
      <xdr:row>44</xdr:row>
      <xdr:rowOff>0</xdr:rowOff>
    </xdr:from>
    <xdr:to>
      <xdr:col>38</xdr:col>
      <xdr:colOff>42864</xdr:colOff>
      <xdr:row>65</xdr:row>
      <xdr:rowOff>57150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0</xdr:colOff>
      <xdr:row>1</xdr:row>
      <xdr:rowOff>241788</xdr:rowOff>
    </xdr:from>
    <xdr:to>
      <xdr:col>50</xdr:col>
      <xdr:colOff>42863</xdr:colOff>
      <xdr:row>20</xdr:row>
      <xdr:rowOff>57150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39</xdr:col>
      <xdr:colOff>0</xdr:colOff>
      <xdr:row>20</xdr:row>
      <xdr:rowOff>190500</xdr:rowOff>
    </xdr:from>
    <xdr:to>
      <xdr:col>50</xdr:col>
      <xdr:colOff>42863</xdr:colOff>
      <xdr:row>42</xdr:row>
      <xdr:rowOff>5861</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39</xdr:col>
      <xdr:colOff>0</xdr:colOff>
      <xdr:row>43</xdr:row>
      <xdr:rowOff>0</xdr:rowOff>
    </xdr:from>
    <xdr:to>
      <xdr:col>50</xdr:col>
      <xdr:colOff>42863</xdr:colOff>
      <xdr:row>64</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51</xdr:col>
      <xdr:colOff>0</xdr:colOff>
      <xdr:row>1</xdr:row>
      <xdr:rowOff>241788</xdr:rowOff>
    </xdr:from>
    <xdr:to>
      <xdr:col>62</xdr:col>
      <xdr:colOff>42863</xdr:colOff>
      <xdr:row>20</xdr:row>
      <xdr:rowOff>57150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51</xdr:col>
      <xdr:colOff>0</xdr:colOff>
      <xdr:row>20</xdr:row>
      <xdr:rowOff>190500</xdr:rowOff>
    </xdr:from>
    <xdr:to>
      <xdr:col>61</xdr:col>
      <xdr:colOff>603374</xdr:colOff>
      <xdr:row>43</xdr:row>
      <xdr:rowOff>47625</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63</xdr:col>
      <xdr:colOff>0</xdr:colOff>
      <xdr:row>1</xdr:row>
      <xdr:rowOff>241788</xdr:rowOff>
    </xdr:from>
    <xdr:to>
      <xdr:col>73</xdr:col>
      <xdr:colOff>603374</xdr:colOff>
      <xdr:row>21</xdr:row>
      <xdr:rowOff>150202</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63</xdr:col>
      <xdr:colOff>0</xdr:colOff>
      <xdr:row>23</xdr:row>
      <xdr:rowOff>0</xdr:rowOff>
    </xdr:from>
    <xdr:to>
      <xdr:col>73</xdr:col>
      <xdr:colOff>603374</xdr:colOff>
      <xdr:row>45</xdr:row>
      <xdr:rowOff>98914</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63</xdr:col>
      <xdr:colOff>0</xdr:colOff>
      <xdr:row>46</xdr:row>
      <xdr:rowOff>0</xdr:rowOff>
    </xdr:from>
    <xdr:to>
      <xdr:col>73</xdr:col>
      <xdr:colOff>603374</xdr:colOff>
      <xdr:row>68</xdr:row>
      <xdr:rowOff>150202</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23811</xdr:colOff>
      <xdr:row>2</xdr:row>
      <xdr:rowOff>9525</xdr:rowOff>
    </xdr:from>
    <xdr:to>
      <xdr:col>27</xdr:col>
      <xdr:colOff>66674</xdr:colOff>
      <xdr:row>23</xdr:row>
      <xdr:rowOff>66675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6493</xdr:colOff>
      <xdr:row>24</xdr:row>
      <xdr:rowOff>38098</xdr:rowOff>
    </xdr:from>
    <xdr:to>
      <xdr:col>27</xdr:col>
      <xdr:colOff>34637</xdr:colOff>
      <xdr:row>45</xdr:row>
      <xdr:rowOff>173180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14654</xdr:colOff>
      <xdr:row>1</xdr:row>
      <xdr:rowOff>234461</xdr:rowOff>
    </xdr:from>
    <xdr:to>
      <xdr:col>39</xdr:col>
      <xdr:colOff>57517</xdr:colOff>
      <xdr:row>23</xdr:row>
      <xdr:rowOff>49823</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117230</xdr:colOff>
      <xdr:row>24</xdr:row>
      <xdr:rowOff>58616</xdr:rowOff>
    </xdr:from>
    <xdr:to>
      <xdr:col>39</xdr:col>
      <xdr:colOff>190500</xdr:colOff>
      <xdr:row>40</xdr:row>
      <xdr:rowOff>138545</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39</xdr:col>
      <xdr:colOff>461596</xdr:colOff>
      <xdr:row>2</xdr:row>
      <xdr:rowOff>21981</xdr:rowOff>
    </xdr:from>
    <xdr:to>
      <xdr:col>50</xdr:col>
      <xdr:colOff>504459</xdr:colOff>
      <xdr:row>23</xdr:row>
      <xdr:rowOff>79131</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40</xdr:col>
      <xdr:colOff>10584</xdr:colOff>
      <xdr:row>24</xdr:row>
      <xdr:rowOff>84666</xdr:rowOff>
    </xdr:from>
    <xdr:to>
      <xdr:col>51</xdr:col>
      <xdr:colOff>155863</xdr:colOff>
      <xdr:row>46</xdr:row>
      <xdr:rowOff>8658</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0</xdr:colOff>
      <xdr:row>42</xdr:row>
      <xdr:rowOff>0</xdr:rowOff>
    </xdr:from>
    <xdr:to>
      <xdr:col>39</xdr:col>
      <xdr:colOff>42863</xdr:colOff>
      <xdr:row>64</xdr:row>
      <xdr:rowOff>57150</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0</xdr:colOff>
      <xdr:row>66</xdr:row>
      <xdr:rowOff>0</xdr:rowOff>
    </xdr:from>
    <xdr:to>
      <xdr:col>39</xdr:col>
      <xdr:colOff>42863</xdr:colOff>
      <xdr:row>87</xdr:row>
      <xdr:rowOff>57150</xdr:rowOff>
    </xdr:to>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23811</xdr:colOff>
      <xdr:row>4</xdr:row>
      <xdr:rowOff>9525</xdr:rowOff>
    </xdr:from>
    <xdr:to>
      <xdr:col>27</xdr:col>
      <xdr:colOff>66674</xdr:colOff>
      <xdr:row>25</xdr:row>
      <xdr:rowOff>66675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6493</xdr:colOff>
      <xdr:row>26</xdr:row>
      <xdr:rowOff>38098</xdr:rowOff>
    </xdr:from>
    <xdr:to>
      <xdr:col>27</xdr:col>
      <xdr:colOff>34637</xdr:colOff>
      <xdr:row>46</xdr:row>
      <xdr:rowOff>173180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14654</xdr:colOff>
      <xdr:row>1</xdr:row>
      <xdr:rowOff>234461</xdr:rowOff>
    </xdr:from>
    <xdr:to>
      <xdr:col>39</xdr:col>
      <xdr:colOff>57517</xdr:colOff>
      <xdr:row>25</xdr:row>
      <xdr:rowOff>49823</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117230</xdr:colOff>
      <xdr:row>26</xdr:row>
      <xdr:rowOff>58616</xdr:rowOff>
    </xdr:from>
    <xdr:to>
      <xdr:col>39</xdr:col>
      <xdr:colOff>190500</xdr:colOff>
      <xdr:row>41</xdr:row>
      <xdr:rowOff>138545</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39</xdr:col>
      <xdr:colOff>461596</xdr:colOff>
      <xdr:row>4</xdr:row>
      <xdr:rowOff>21981</xdr:rowOff>
    </xdr:from>
    <xdr:to>
      <xdr:col>50</xdr:col>
      <xdr:colOff>504459</xdr:colOff>
      <xdr:row>25</xdr:row>
      <xdr:rowOff>79131</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40</xdr:col>
      <xdr:colOff>10584</xdr:colOff>
      <xdr:row>26</xdr:row>
      <xdr:rowOff>84666</xdr:rowOff>
    </xdr:from>
    <xdr:to>
      <xdr:col>51</xdr:col>
      <xdr:colOff>155863</xdr:colOff>
      <xdr:row>47</xdr:row>
      <xdr:rowOff>8658</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0</xdr:colOff>
      <xdr:row>43</xdr:row>
      <xdr:rowOff>0</xdr:rowOff>
    </xdr:from>
    <xdr:to>
      <xdr:col>39</xdr:col>
      <xdr:colOff>42863</xdr:colOff>
      <xdr:row>65</xdr:row>
      <xdr:rowOff>57150</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0</xdr:colOff>
      <xdr:row>67</xdr:row>
      <xdr:rowOff>0</xdr:rowOff>
    </xdr:from>
    <xdr:to>
      <xdr:col>39</xdr:col>
      <xdr:colOff>42863</xdr:colOff>
      <xdr:row>88</xdr:row>
      <xdr:rowOff>57150</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48</xdr:row>
      <xdr:rowOff>0</xdr:rowOff>
    </xdr:from>
    <xdr:to>
      <xdr:col>27</xdr:col>
      <xdr:colOff>42863</xdr:colOff>
      <xdr:row>70</xdr:row>
      <xdr:rowOff>57150</xdr:rowOff>
    </xdr:to>
    <xdr:graphicFrame macro="">
      <xdr:nvGraphicFramePr>
        <xdr:cNvPr id="10" name="Chart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0</xdr:colOff>
      <xdr:row>71</xdr:row>
      <xdr:rowOff>0</xdr:rowOff>
    </xdr:from>
    <xdr:to>
      <xdr:col>27</xdr:col>
      <xdr:colOff>42863</xdr:colOff>
      <xdr:row>93</xdr:row>
      <xdr:rowOff>57150</xdr:rowOff>
    </xdr:to>
    <xdr:graphicFrame macro="">
      <xdr:nvGraphicFramePr>
        <xdr:cNvPr id="12" name="Chart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0</xdr:colOff>
      <xdr:row>94</xdr:row>
      <xdr:rowOff>0</xdr:rowOff>
    </xdr:from>
    <xdr:to>
      <xdr:col>27</xdr:col>
      <xdr:colOff>42863</xdr:colOff>
      <xdr:row>116</xdr:row>
      <xdr:rowOff>57150</xdr:rowOff>
    </xdr:to>
    <xdr:graphicFrame macro="">
      <xdr:nvGraphicFramePr>
        <xdr:cNvPr id="13" name="Chart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
  <sheetViews>
    <sheetView tabSelected="1" zoomScale="110" zoomScaleNormal="110" zoomScalePageLayoutView="90" workbookViewId="0"/>
  </sheetViews>
  <sheetFormatPr defaultColWidth="8.85546875" defaultRowHeight="15" x14ac:dyDescent="0.25"/>
  <sheetData>
    <row r="1" spans="1:16" x14ac:dyDescent="0.25">
      <c r="A1" s="35" t="s">
        <v>153</v>
      </c>
      <c r="B1" t="s">
        <v>157</v>
      </c>
    </row>
    <row r="2" spans="1:16" x14ac:dyDescent="0.25">
      <c r="A2" s="58" t="s">
        <v>169</v>
      </c>
      <c r="B2" s="55"/>
      <c r="C2" s="55"/>
      <c r="D2" s="55"/>
      <c r="E2" s="55"/>
      <c r="F2" s="55"/>
      <c r="G2" s="55"/>
      <c r="H2" s="55"/>
      <c r="I2" s="55"/>
      <c r="J2" s="55"/>
      <c r="K2" s="55"/>
      <c r="L2" s="55"/>
      <c r="M2" s="55"/>
      <c r="N2" s="55"/>
      <c r="O2" s="55"/>
    </row>
    <row r="3" spans="1:16" ht="33" customHeight="1" x14ac:dyDescent="0.25">
      <c r="A3" s="59" t="s">
        <v>154</v>
      </c>
      <c r="B3" s="59"/>
      <c r="C3" s="59"/>
      <c r="D3" s="59"/>
      <c r="E3" s="59"/>
      <c r="F3" s="59"/>
      <c r="G3" s="59"/>
      <c r="H3" s="59"/>
      <c r="I3" s="59"/>
      <c r="J3" s="59"/>
      <c r="K3" s="59"/>
      <c r="L3" s="59"/>
      <c r="M3" s="59"/>
      <c r="N3" s="59"/>
      <c r="O3" s="59"/>
    </row>
    <row r="4" spans="1:16" ht="77.25" customHeight="1" x14ac:dyDescent="0.25">
      <c r="A4" s="59" t="s">
        <v>156</v>
      </c>
      <c r="B4" s="59"/>
      <c r="C4" s="59"/>
      <c r="D4" s="59"/>
      <c r="E4" s="59"/>
      <c r="F4" s="59"/>
      <c r="G4" s="59"/>
      <c r="H4" s="59"/>
      <c r="I4" s="59"/>
      <c r="J4" s="59"/>
      <c r="K4" s="59"/>
      <c r="L4" s="59"/>
      <c r="M4" s="59"/>
      <c r="N4" s="59"/>
      <c r="O4" s="59"/>
    </row>
    <row r="5" spans="1:16" ht="18" customHeight="1" x14ac:dyDescent="0.25">
      <c r="A5" s="60" t="s">
        <v>170</v>
      </c>
      <c r="B5" s="61"/>
      <c r="C5" s="61"/>
      <c r="D5" s="61"/>
      <c r="E5" s="61"/>
      <c r="F5" s="61"/>
      <c r="G5" s="61"/>
      <c r="H5" s="61"/>
      <c r="I5" s="61"/>
      <c r="J5" s="61"/>
      <c r="K5" s="61"/>
      <c r="L5" s="61"/>
      <c r="M5" s="61"/>
      <c r="N5" s="61"/>
      <c r="O5" s="61"/>
    </row>
    <row r="6" spans="1:16" ht="18" customHeight="1" x14ac:dyDescent="0.25">
      <c r="A6" s="62" t="s">
        <v>171</v>
      </c>
      <c r="B6" s="61" t="s">
        <v>172</v>
      </c>
      <c r="C6" s="61"/>
      <c r="D6" s="61"/>
      <c r="E6" s="61"/>
      <c r="F6" s="61"/>
      <c r="G6" s="61"/>
      <c r="H6" s="61"/>
      <c r="I6" s="61"/>
      <c r="J6" s="61"/>
      <c r="K6" s="61"/>
      <c r="L6" s="61"/>
      <c r="M6" s="61"/>
      <c r="N6" s="61"/>
      <c r="O6" s="61"/>
    </row>
    <row r="7" spans="1:16" ht="18" customHeight="1" x14ac:dyDescent="0.25">
      <c r="A7" s="62" t="s">
        <v>173</v>
      </c>
      <c r="B7" s="63" t="s">
        <v>174</v>
      </c>
      <c r="C7" s="63"/>
      <c r="D7" s="63"/>
      <c r="E7" s="63"/>
      <c r="F7" s="63"/>
      <c r="G7" s="63"/>
      <c r="H7" s="63"/>
      <c r="I7" s="63"/>
      <c r="J7" s="63"/>
      <c r="K7" s="63"/>
      <c r="L7" s="63"/>
      <c r="M7" s="63"/>
      <c r="N7" s="63"/>
      <c r="O7" s="63"/>
    </row>
    <row r="8" spans="1:16" ht="18" customHeight="1" x14ac:dyDescent="0.25">
      <c r="A8" s="62" t="s">
        <v>175</v>
      </c>
      <c r="B8" s="63" t="s">
        <v>178</v>
      </c>
      <c r="C8" s="63"/>
      <c r="D8" s="63"/>
      <c r="E8" s="63"/>
      <c r="F8" s="63"/>
      <c r="G8" s="63"/>
      <c r="H8" s="63"/>
      <c r="I8" s="63"/>
      <c r="J8" s="63"/>
      <c r="K8" s="63"/>
      <c r="L8" s="63"/>
      <c r="M8" s="63"/>
      <c r="N8" s="63"/>
      <c r="O8" s="63"/>
    </row>
    <row r="9" spans="1:16" ht="46.5" customHeight="1" x14ac:dyDescent="0.25">
      <c r="A9" s="62" t="s">
        <v>176</v>
      </c>
      <c r="B9" s="64" t="s">
        <v>177</v>
      </c>
      <c r="C9" s="64"/>
      <c r="D9" s="64"/>
      <c r="E9" s="64"/>
      <c r="F9" s="64"/>
      <c r="G9" s="64"/>
      <c r="H9" s="64"/>
      <c r="I9" s="64"/>
      <c r="J9" s="64"/>
      <c r="K9" s="64"/>
      <c r="L9" s="64"/>
      <c r="M9" s="64"/>
      <c r="N9" s="64"/>
      <c r="O9" s="64"/>
    </row>
    <row r="10" spans="1:16" ht="36" customHeight="1" x14ac:dyDescent="0.25">
      <c r="A10" s="62" t="s">
        <v>179</v>
      </c>
      <c r="B10" s="64" t="s">
        <v>180</v>
      </c>
      <c r="C10" s="64"/>
      <c r="D10" s="64"/>
      <c r="E10" s="64"/>
      <c r="F10" s="64"/>
      <c r="G10" s="64"/>
      <c r="H10" s="64"/>
      <c r="I10" s="64"/>
      <c r="J10" s="64"/>
      <c r="K10" s="64"/>
      <c r="L10" s="64"/>
      <c r="M10" s="64"/>
      <c r="N10" s="64"/>
      <c r="O10" s="64"/>
    </row>
    <row r="11" spans="1:16" x14ac:dyDescent="0.25">
      <c r="A11" s="65" t="s">
        <v>158</v>
      </c>
      <c r="B11" s="66"/>
      <c r="C11" s="66"/>
      <c r="D11" s="66"/>
      <c r="E11" s="66"/>
      <c r="F11" s="66"/>
      <c r="G11" s="66"/>
      <c r="H11" s="66"/>
      <c r="I11" s="66"/>
      <c r="J11" s="66"/>
      <c r="K11" s="66"/>
      <c r="L11" s="66"/>
      <c r="M11" s="66"/>
      <c r="N11" s="66"/>
      <c r="O11" s="66"/>
    </row>
    <row r="12" spans="1:16" ht="57.75" customHeight="1" x14ac:dyDescent="0.25">
      <c r="A12" s="67" t="s">
        <v>161</v>
      </c>
      <c r="B12" s="67"/>
      <c r="C12" s="67"/>
      <c r="D12" s="67"/>
      <c r="E12" s="67"/>
      <c r="F12" s="67"/>
      <c r="G12" s="67"/>
      <c r="H12" s="67"/>
      <c r="I12" s="67"/>
      <c r="J12" s="67"/>
      <c r="K12" s="67"/>
      <c r="L12" s="67"/>
      <c r="M12" s="67"/>
      <c r="N12" s="67"/>
      <c r="O12" s="67"/>
    </row>
    <row r="13" spans="1:16" ht="52.5" customHeight="1" x14ac:dyDescent="0.25">
      <c r="A13" s="68" t="s">
        <v>160</v>
      </c>
      <c r="B13" s="68"/>
      <c r="C13" s="68"/>
      <c r="D13" s="68"/>
      <c r="E13" s="68"/>
      <c r="F13" s="68"/>
      <c r="G13" s="68"/>
      <c r="H13" s="68"/>
      <c r="I13" s="68"/>
      <c r="J13" s="68"/>
      <c r="K13" s="68"/>
      <c r="L13" s="68"/>
      <c r="M13" s="68"/>
      <c r="N13" s="68"/>
      <c r="O13" s="68"/>
    </row>
    <row r="14" spans="1:16" ht="94.5" customHeight="1" x14ac:dyDescent="0.25">
      <c r="A14" s="69" t="s">
        <v>162</v>
      </c>
      <c r="B14" s="69"/>
      <c r="C14" s="69"/>
      <c r="D14" s="69"/>
      <c r="E14" s="69"/>
      <c r="F14" s="69"/>
      <c r="G14" s="69"/>
      <c r="H14" s="69"/>
      <c r="I14" s="69"/>
      <c r="J14" s="69"/>
      <c r="K14" s="69"/>
      <c r="L14" s="69"/>
      <c r="M14" s="69"/>
      <c r="N14" s="69"/>
      <c r="O14" s="69"/>
      <c r="P14" s="57"/>
    </row>
    <row r="15" spans="1:16" ht="35.25" customHeight="1" x14ac:dyDescent="0.25">
      <c r="A15" s="69" t="s">
        <v>159</v>
      </c>
      <c r="B15" s="69"/>
      <c r="C15" s="69"/>
      <c r="D15" s="69"/>
      <c r="E15" s="69"/>
      <c r="F15" s="69"/>
      <c r="G15" s="69"/>
      <c r="H15" s="69"/>
      <c r="I15" s="69"/>
      <c r="J15" s="69"/>
      <c r="K15" s="69"/>
      <c r="L15" s="69"/>
      <c r="M15" s="69"/>
      <c r="N15" s="69"/>
      <c r="O15" s="69"/>
      <c r="P15" s="57"/>
    </row>
    <row r="16" spans="1:16" x14ac:dyDescent="0.25">
      <c r="A16" s="70" t="s">
        <v>168</v>
      </c>
      <c r="B16" s="71"/>
      <c r="C16" s="71"/>
      <c r="D16" s="71"/>
      <c r="E16" s="71"/>
      <c r="F16" s="71"/>
      <c r="G16" s="71"/>
      <c r="H16" s="71"/>
      <c r="I16" s="71"/>
      <c r="J16" s="71"/>
      <c r="K16" s="71"/>
      <c r="L16" s="71"/>
      <c r="M16" s="71"/>
      <c r="N16" s="71"/>
      <c r="O16" s="71"/>
      <c r="P16" s="71"/>
    </row>
    <row r="17" spans="1:16" x14ac:dyDescent="0.25">
      <c r="A17" s="72" t="s">
        <v>184</v>
      </c>
      <c r="B17" s="71"/>
      <c r="C17" s="71"/>
      <c r="D17" s="71"/>
      <c r="E17" s="71"/>
      <c r="F17" s="71"/>
      <c r="G17" s="71"/>
      <c r="H17" s="71"/>
      <c r="I17" s="71"/>
      <c r="J17" s="71"/>
      <c r="K17" s="71"/>
      <c r="L17" s="71"/>
      <c r="M17" s="71"/>
      <c r="N17" s="71"/>
      <c r="O17" s="71"/>
      <c r="P17" s="71"/>
    </row>
    <row r="18" spans="1:16" ht="54" customHeight="1" x14ac:dyDescent="0.25">
      <c r="A18" s="71">
        <v>1</v>
      </c>
      <c r="B18" s="73" t="s">
        <v>181</v>
      </c>
      <c r="C18" s="73"/>
      <c r="D18" s="73"/>
      <c r="E18" s="73"/>
      <c r="F18" s="73"/>
      <c r="G18" s="73"/>
      <c r="H18" s="73"/>
      <c r="I18" s="73"/>
      <c r="J18" s="73"/>
      <c r="K18" s="73"/>
      <c r="L18" s="73"/>
      <c r="M18" s="73"/>
      <c r="N18" s="73"/>
      <c r="O18" s="73"/>
      <c r="P18" s="71"/>
    </row>
    <row r="19" spans="1:16" ht="51" customHeight="1" x14ac:dyDescent="0.25">
      <c r="A19" s="71">
        <v>2</v>
      </c>
      <c r="B19" s="73" t="s">
        <v>164</v>
      </c>
      <c r="C19" s="73"/>
      <c r="D19" s="73"/>
      <c r="E19" s="73"/>
      <c r="F19" s="73"/>
      <c r="G19" s="73"/>
      <c r="H19" s="73"/>
      <c r="I19" s="73"/>
      <c r="J19" s="73"/>
      <c r="K19" s="73"/>
      <c r="L19" s="73"/>
      <c r="M19" s="73"/>
      <c r="N19" s="73"/>
      <c r="O19" s="73"/>
      <c r="P19" s="71"/>
    </row>
    <row r="20" spans="1:16" ht="49.5" customHeight="1" x14ac:dyDescent="0.25">
      <c r="A20" s="71">
        <v>3</v>
      </c>
      <c r="B20" s="73" t="s">
        <v>185</v>
      </c>
      <c r="C20" s="73"/>
      <c r="D20" s="73"/>
      <c r="E20" s="73"/>
      <c r="F20" s="73"/>
      <c r="G20" s="73"/>
      <c r="H20" s="73"/>
      <c r="I20" s="73"/>
      <c r="J20" s="73"/>
      <c r="K20" s="73"/>
      <c r="L20" s="73"/>
      <c r="M20" s="73"/>
      <c r="N20" s="73"/>
      <c r="O20" s="73"/>
      <c r="P20" s="71"/>
    </row>
    <row r="21" spans="1:16" ht="41.25" customHeight="1" x14ac:dyDescent="0.25">
      <c r="A21" s="71">
        <v>4</v>
      </c>
      <c r="B21" s="73" t="s">
        <v>182</v>
      </c>
      <c r="C21" s="73"/>
      <c r="D21" s="73"/>
      <c r="E21" s="73"/>
      <c r="F21" s="73"/>
      <c r="G21" s="73"/>
      <c r="H21" s="73"/>
      <c r="I21" s="73"/>
      <c r="J21" s="73"/>
      <c r="K21" s="73"/>
      <c r="L21" s="73"/>
      <c r="M21" s="73"/>
      <c r="N21" s="73"/>
      <c r="O21" s="73"/>
      <c r="P21" s="71"/>
    </row>
    <row r="22" spans="1:16" ht="40.5" customHeight="1" x14ac:dyDescent="0.25">
      <c r="A22" s="71">
        <v>5</v>
      </c>
      <c r="B22" s="73" t="s">
        <v>183</v>
      </c>
      <c r="C22" s="73"/>
      <c r="D22" s="73"/>
      <c r="E22" s="73"/>
      <c r="F22" s="73"/>
      <c r="G22" s="73"/>
      <c r="H22" s="73"/>
      <c r="I22" s="73"/>
      <c r="J22" s="73"/>
      <c r="K22" s="73"/>
      <c r="L22" s="73"/>
      <c r="M22" s="73"/>
      <c r="N22" s="73"/>
      <c r="O22" s="73"/>
      <c r="P22" s="71"/>
    </row>
    <row r="23" spans="1:16" ht="58.5" customHeight="1" x14ac:dyDescent="0.25">
      <c r="A23" s="71">
        <v>6</v>
      </c>
      <c r="B23" s="73" t="s">
        <v>163</v>
      </c>
      <c r="C23" s="73"/>
      <c r="D23" s="73"/>
      <c r="E23" s="73"/>
      <c r="F23" s="73"/>
      <c r="G23" s="73"/>
      <c r="H23" s="73"/>
      <c r="I23" s="73"/>
      <c r="J23" s="73"/>
      <c r="K23" s="73"/>
      <c r="L23" s="73"/>
      <c r="M23" s="73"/>
      <c r="N23" s="73"/>
      <c r="O23" s="73"/>
      <c r="P23" s="71"/>
    </row>
    <row r="24" spans="1:16" x14ac:dyDescent="0.25">
      <c r="A24" s="71" t="s">
        <v>166</v>
      </c>
      <c r="B24" s="71"/>
      <c r="C24" s="71"/>
      <c r="D24" s="71"/>
      <c r="E24" s="71"/>
      <c r="F24" s="71"/>
      <c r="G24" s="71"/>
      <c r="H24" s="71"/>
      <c r="I24" s="71"/>
      <c r="J24" s="71"/>
      <c r="K24" s="71"/>
      <c r="L24" s="71"/>
      <c r="M24" s="71"/>
      <c r="N24" s="71"/>
      <c r="O24" s="71"/>
      <c r="P24" s="71"/>
    </row>
    <row r="25" spans="1:16" x14ac:dyDescent="0.25">
      <c r="A25" t="s">
        <v>165</v>
      </c>
    </row>
    <row r="26" spans="1:16" ht="66.75" customHeight="1" x14ac:dyDescent="0.25">
      <c r="A26" s="49" t="s">
        <v>167</v>
      </c>
      <c r="B26" s="49"/>
      <c r="C26" s="49"/>
      <c r="D26" s="49"/>
      <c r="E26" s="49"/>
      <c r="F26" s="49"/>
      <c r="G26" s="49"/>
      <c r="H26" s="49"/>
      <c r="I26" s="49"/>
      <c r="J26" s="49"/>
      <c r="K26" s="49"/>
      <c r="L26" s="49"/>
      <c r="M26" s="49"/>
      <c r="N26" s="49"/>
      <c r="O26" s="49"/>
      <c r="P26" s="49"/>
    </row>
    <row r="27" spans="1:16" x14ac:dyDescent="0.25">
      <c r="A27" t="s">
        <v>103</v>
      </c>
    </row>
    <row r="28" spans="1:16" x14ac:dyDescent="0.25">
      <c r="A28" s="49" t="s">
        <v>117</v>
      </c>
      <c r="B28" s="49"/>
      <c r="C28" s="49"/>
      <c r="D28" s="49"/>
      <c r="E28" s="49"/>
      <c r="F28" s="49"/>
      <c r="G28" s="49"/>
      <c r="H28" s="49"/>
      <c r="I28" s="49"/>
      <c r="J28" s="49"/>
      <c r="K28" s="49"/>
      <c r="L28" s="49"/>
      <c r="M28" s="49"/>
      <c r="N28" s="49"/>
      <c r="O28" s="49"/>
      <c r="P28" s="49"/>
    </row>
    <row r="29" spans="1:16" x14ac:dyDescent="0.25">
      <c r="A29" s="49"/>
      <c r="B29" s="49"/>
      <c r="C29" s="49"/>
      <c r="D29" s="49"/>
      <c r="E29" s="49"/>
      <c r="F29" s="49"/>
      <c r="G29" s="49"/>
      <c r="H29" s="49"/>
      <c r="I29" s="49"/>
      <c r="J29" s="49"/>
      <c r="K29" s="49"/>
      <c r="L29" s="49"/>
      <c r="M29" s="49"/>
      <c r="N29" s="49"/>
      <c r="O29" s="49"/>
      <c r="P29" s="49"/>
    </row>
  </sheetData>
  <mergeCells count="18">
    <mergeCell ref="A26:P26"/>
    <mergeCell ref="A3:O3"/>
    <mergeCell ref="B7:O7"/>
    <mergeCell ref="B8:O8"/>
    <mergeCell ref="B9:O9"/>
    <mergeCell ref="B10:O10"/>
    <mergeCell ref="A15:O15"/>
    <mergeCell ref="B18:O18"/>
    <mergeCell ref="B19:O19"/>
    <mergeCell ref="B21:O21"/>
    <mergeCell ref="B22:O22"/>
    <mergeCell ref="B23:O23"/>
    <mergeCell ref="B20:O20"/>
    <mergeCell ref="A4:O4"/>
    <mergeCell ref="A13:O13"/>
    <mergeCell ref="A12:O12"/>
    <mergeCell ref="A14:O14"/>
    <mergeCell ref="A28:P29"/>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76"/>
  <sheetViews>
    <sheetView zoomScale="120" zoomScaleNormal="120" zoomScalePageLayoutView="120" workbookViewId="0">
      <pane xSplit="1" ySplit="2" topLeftCell="P11" activePane="bottomRight" state="frozen"/>
      <selection pane="topRight" activeCell="C1" sqref="C1"/>
      <selection pane="bottomLeft" activeCell="A3" sqref="A3"/>
      <selection pane="bottomRight" activeCell="AC20" sqref="AC20"/>
    </sheetView>
  </sheetViews>
  <sheetFormatPr defaultColWidth="8.85546875" defaultRowHeight="15" x14ac:dyDescent="0.25"/>
  <cols>
    <col min="1" max="1" width="39.7109375" customWidth="1"/>
    <col min="2" max="2" width="6.7109375" customWidth="1"/>
    <col min="3" max="3" width="3.7109375" customWidth="1"/>
    <col min="4" max="4" width="3.85546875" customWidth="1"/>
    <col min="5" max="5" width="11.42578125" style="14" customWidth="1"/>
    <col min="6" max="6" width="6.7109375" customWidth="1"/>
    <col min="7" max="7" width="3.7109375" customWidth="1"/>
    <col min="8" max="8" width="3.85546875" customWidth="1"/>
    <col min="9" max="9" width="11.42578125" style="14" customWidth="1"/>
    <col min="10" max="10" width="6.7109375" customWidth="1"/>
    <col min="11" max="11" width="4.42578125" customWidth="1"/>
    <col min="12" max="12" width="3.85546875" customWidth="1"/>
    <col min="13" max="13" width="11.42578125" style="14" customWidth="1"/>
    <col min="14" max="14" width="6.7109375" customWidth="1"/>
    <col min="15" max="15" width="3.7109375" customWidth="1"/>
    <col min="16" max="16" width="3.85546875" customWidth="1"/>
    <col min="17" max="17" width="11.42578125" style="14" customWidth="1"/>
    <col min="18" max="18" width="6.7109375" customWidth="1"/>
    <col min="19" max="19" width="3.7109375" customWidth="1"/>
    <col min="20" max="20" width="3.85546875" customWidth="1"/>
    <col min="21" max="21" width="11.42578125" style="14" customWidth="1"/>
    <col min="22" max="22" width="6.7109375" customWidth="1"/>
    <col min="23" max="23" width="3.7109375" customWidth="1"/>
    <col min="24" max="24" width="3.85546875" customWidth="1"/>
    <col min="25" max="25" width="11.42578125" style="14" customWidth="1"/>
    <col min="26" max="26" width="6.7109375" customWidth="1"/>
    <col min="27" max="27" width="5.42578125" customWidth="1"/>
    <col min="28" max="28" width="3.85546875" customWidth="1"/>
    <col min="29" max="29" width="11.42578125" style="14" customWidth="1"/>
    <col min="30" max="30" width="6.7109375" customWidth="1"/>
    <col min="31" max="31" width="3.7109375" customWidth="1"/>
    <col min="32" max="32" width="3.85546875" customWidth="1"/>
    <col min="33" max="33" width="11.42578125" style="14" customWidth="1"/>
    <col min="34" max="34" width="6.7109375" customWidth="1"/>
    <col min="35" max="35" width="3.7109375" customWidth="1"/>
    <col min="36" max="36" width="3.85546875" customWidth="1"/>
    <col min="37" max="37" width="11.42578125" style="14" customWidth="1"/>
    <col min="38" max="38" width="6.7109375" customWidth="1"/>
    <col min="39" max="39" width="3.7109375" customWidth="1"/>
    <col min="40" max="40" width="3.85546875" customWidth="1"/>
    <col min="41" max="41" width="11.42578125" style="14" customWidth="1"/>
    <col min="42" max="42" width="5.85546875" customWidth="1"/>
    <col min="43" max="43" width="3.7109375" customWidth="1"/>
    <col min="44" max="44" width="3.85546875" customWidth="1"/>
    <col min="45" max="45" width="10.7109375" style="14" customWidth="1"/>
    <col min="46" max="46" width="6.28515625" customWidth="1"/>
    <col min="47" max="47" width="3.85546875" customWidth="1"/>
    <col min="48" max="48" width="4" customWidth="1"/>
    <col min="49" max="49" width="11.42578125" style="14" customWidth="1"/>
    <col min="50" max="50" width="6.7109375" customWidth="1"/>
    <col min="51" max="51" width="3.85546875" customWidth="1"/>
    <col min="52" max="52" width="3.42578125" customWidth="1"/>
    <col min="53" max="53" width="11.140625" style="14" customWidth="1"/>
    <col min="54" max="54" width="6.140625" customWidth="1"/>
    <col min="55" max="55" width="3.85546875" customWidth="1"/>
    <col min="56" max="56" width="4.7109375" customWidth="1"/>
    <col min="57" max="57" width="11.85546875" style="14" customWidth="1"/>
    <col min="58" max="58" width="6.140625" customWidth="1"/>
    <col min="59" max="59" width="3.85546875" customWidth="1"/>
    <col min="60" max="60" width="4.5703125" customWidth="1"/>
    <col min="61" max="61" width="11.85546875" style="14" customWidth="1"/>
    <col min="62" max="62" width="10.42578125" style="23" customWidth="1"/>
    <col min="63" max="63" width="3.85546875" customWidth="1"/>
    <col min="64" max="64" width="3.42578125" customWidth="1"/>
    <col min="65" max="65" width="11.85546875" style="14" customWidth="1"/>
    <col min="66" max="66" width="12" style="23" customWidth="1"/>
    <col min="67" max="67" width="3.85546875" customWidth="1"/>
    <col min="68" max="68" width="3.42578125" customWidth="1"/>
    <col min="69" max="69" width="11.85546875" style="7" customWidth="1"/>
    <col min="70" max="70" width="11" style="23" customWidth="1"/>
    <col min="71" max="71" width="3.85546875" customWidth="1"/>
    <col min="72" max="72" width="3.42578125" customWidth="1"/>
    <col min="73" max="73" width="11.85546875" style="7" customWidth="1"/>
    <col min="74" max="75" width="11" style="23" customWidth="1"/>
    <col min="76" max="76" width="11.85546875" style="7" customWidth="1"/>
    <col min="77" max="77" width="11" style="23" customWidth="1"/>
    <col min="78" max="78" width="11" style="7" bestFit="1" customWidth="1"/>
    <col min="79" max="79" width="12.28515625" style="23" customWidth="1"/>
    <col min="80" max="80" width="8.85546875" style="7"/>
    <col min="81" max="81" width="12.28515625" style="23" customWidth="1"/>
    <col min="82" max="82" width="8.85546875" style="7"/>
    <col min="83" max="83" width="14.140625" style="23" customWidth="1"/>
    <col min="84" max="84" width="8.85546875" style="7"/>
    <col min="85" max="85" width="14.140625" style="23" customWidth="1"/>
    <col min="86" max="86" width="12" style="7" bestFit="1" customWidth="1"/>
    <col min="87" max="16384" width="8.85546875" style="7"/>
  </cols>
  <sheetData>
    <row r="1" spans="1:86" x14ac:dyDescent="0.25">
      <c r="A1" s="12" t="s">
        <v>0</v>
      </c>
      <c r="B1" s="12">
        <v>1765</v>
      </c>
      <c r="C1" s="10"/>
      <c r="D1" s="10"/>
      <c r="F1" s="12">
        <v>1833</v>
      </c>
      <c r="G1" s="10"/>
      <c r="H1" s="10"/>
      <c r="J1" s="12">
        <v>1834</v>
      </c>
      <c r="K1" s="10"/>
      <c r="L1" s="10"/>
      <c r="N1" s="12">
        <v>1838</v>
      </c>
      <c r="O1" s="10"/>
      <c r="P1" s="10"/>
      <c r="R1" s="12">
        <v>1840</v>
      </c>
      <c r="S1" s="10"/>
      <c r="T1" s="10"/>
      <c r="V1" s="12">
        <v>1850</v>
      </c>
      <c r="W1" s="10"/>
      <c r="X1" s="10"/>
      <c r="Z1" s="12">
        <v>1860</v>
      </c>
      <c r="AA1" s="10"/>
      <c r="AB1" s="10"/>
      <c r="AD1" s="12">
        <v>1870</v>
      </c>
      <c r="AE1" s="10"/>
      <c r="AF1" s="10"/>
      <c r="AH1" s="12">
        <v>1880</v>
      </c>
      <c r="AI1" s="10"/>
      <c r="AJ1" s="10"/>
      <c r="AL1" s="12">
        <v>1890</v>
      </c>
      <c r="AM1" s="10"/>
      <c r="AN1" s="10"/>
      <c r="AP1" s="12">
        <v>1900</v>
      </c>
      <c r="AQ1" s="10"/>
      <c r="AR1" s="10"/>
      <c r="AT1" s="12">
        <v>1910</v>
      </c>
      <c r="AU1" s="10"/>
      <c r="AV1" s="10"/>
      <c r="AX1" s="12">
        <v>1920</v>
      </c>
      <c r="AY1" s="12"/>
      <c r="AZ1" s="12"/>
      <c r="BB1" s="12">
        <v>1930</v>
      </c>
      <c r="BC1" s="12"/>
      <c r="BD1" s="12"/>
      <c r="BF1" s="31">
        <v>1940</v>
      </c>
      <c r="BG1" s="31"/>
      <c r="BH1" s="31"/>
      <c r="BI1" s="32"/>
      <c r="BJ1" s="33">
        <v>1950</v>
      </c>
      <c r="BK1" s="31"/>
      <c r="BL1" s="31"/>
      <c r="BM1" s="32"/>
      <c r="BN1" s="33">
        <v>1960</v>
      </c>
      <c r="BO1" s="31"/>
      <c r="BP1" s="31"/>
      <c r="BQ1" s="34"/>
      <c r="BR1" s="33">
        <v>1970</v>
      </c>
      <c r="BS1" s="31"/>
      <c r="BT1" s="12"/>
      <c r="BU1" s="9"/>
      <c r="BV1" s="33">
        <v>1979</v>
      </c>
      <c r="BW1" s="33">
        <v>1980</v>
      </c>
      <c r="BX1" s="9"/>
      <c r="BY1" s="33">
        <v>1990</v>
      </c>
      <c r="CA1" s="33">
        <v>1999</v>
      </c>
      <c r="CC1" s="33">
        <v>2000</v>
      </c>
      <c r="CE1" s="33">
        <v>2005</v>
      </c>
      <c r="CG1" s="33">
        <v>2010</v>
      </c>
    </row>
    <row r="2" spans="1:86" x14ac:dyDescent="0.25">
      <c r="A2" s="38" t="s">
        <v>73</v>
      </c>
      <c r="B2" s="10" t="s">
        <v>13</v>
      </c>
      <c r="C2" s="10" t="s">
        <v>14</v>
      </c>
      <c r="D2" s="10" t="s">
        <v>15</v>
      </c>
      <c r="E2" s="15" t="s">
        <v>15</v>
      </c>
      <c r="F2" s="10" t="s">
        <v>13</v>
      </c>
      <c r="G2" s="10" t="s">
        <v>14</v>
      </c>
      <c r="H2" s="10" t="s">
        <v>15</v>
      </c>
      <c r="I2" s="15" t="s">
        <v>15</v>
      </c>
      <c r="J2" s="10" t="s">
        <v>13</v>
      </c>
      <c r="K2" s="10" t="s">
        <v>14</v>
      </c>
      <c r="L2" s="10" t="s">
        <v>15</v>
      </c>
      <c r="M2" s="15" t="s">
        <v>15</v>
      </c>
      <c r="N2" s="10" t="s">
        <v>13</v>
      </c>
      <c r="O2" s="10" t="s">
        <v>14</v>
      </c>
      <c r="P2" s="10" t="s">
        <v>15</v>
      </c>
      <c r="Q2" s="15" t="s">
        <v>15</v>
      </c>
      <c r="R2" s="10" t="s">
        <v>13</v>
      </c>
      <c r="S2" s="10" t="s">
        <v>14</v>
      </c>
      <c r="T2" s="10" t="s">
        <v>15</v>
      </c>
      <c r="U2" s="15" t="s">
        <v>15</v>
      </c>
      <c r="V2" s="10" t="s">
        <v>13</v>
      </c>
      <c r="W2" s="10" t="s">
        <v>14</v>
      </c>
      <c r="X2" s="10" t="s">
        <v>15</v>
      </c>
      <c r="Y2" s="15" t="s">
        <v>15</v>
      </c>
      <c r="Z2" s="10" t="s">
        <v>13</v>
      </c>
      <c r="AA2" s="10" t="s">
        <v>14</v>
      </c>
      <c r="AB2" s="10" t="s">
        <v>15</v>
      </c>
      <c r="AC2" s="15" t="s">
        <v>15</v>
      </c>
      <c r="AD2" s="10" t="s">
        <v>13</v>
      </c>
      <c r="AE2" s="10" t="s">
        <v>14</v>
      </c>
      <c r="AF2" s="10" t="s">
        <v>15</v>
      </c>
      <c r="AG2" s="15" t="s">
        <v>15</v>
      </c>
      <c r="AH2" s="10" t="s">
        <v>13</v>
      </c>
      <c r="AI2" s="10" t="s">
        <v>14</v>
      </c>
      <c r="AJ2" s="10" t="s">
        <v>15</v>
      </c>
      <c r="AK2" s="15" t="s">
        <v>15</v>
      </c>
      <c r="AL2" s="10" t="s">
        <v>13</v>
      </c>
      <c r="AM2" s="10" t="s">
        <v>14</v>
      </c>
      <c r="AN2" s="10" t="s">
        <v>15</v>
      </c>
      <c r="AO2" s="15" t="s">
        <v>15</v>
      </c>
      <c r="AP2" s="10" t="s">
        <v>13</v>
      </c>
      <c r="AQ2" s="10" t="s">
        <v>14</v>
      </c>
      <c r="AR2" s="10" t="s">
        <v>15</v>
      </c>
      <c r="AS2" s="15" t="s">
        <v>15</v>
      </c>
      <c r="AT2" s="10" t="s">
        <v>13</v>
      </c>
      <c r="AU2" s="10" t="s">
        <v>14</v>
      </c>
      <c r="AV2" s="10" t="s">
        <v>15</v>
      </c>
      <c r="AW2" s="15" t="s">
        <v>15</v>
      </c>
      <c r="AX2" s="10" t="s">
        <v>13</v>
      </c>
      <c r="AY2" s="10" t="s">
        <v>14</v>
      </c>
      <c r="AZ2" s="10" t="s">
        <v>15</v>
      </c>
      <c r="BA2" s="15" t="s">
        <v>15</v>
      </c>
      <c r="BB2" s="10" t="s">
        <v>13</v>
      </c>
      <c r="BC2" s="10" t="s">
        <v>14</v>
      </c>
      <c r="BD2" s="10" t="s">
        <v>15</v>
      </c>
      <c r="BE2" s="15" t="s">
        <v>15</v>
      </c>
      <c r="BF2" s="10" t="s">
        <v>13</v>
      </c>
      <c r="BG2" s="10" t="s">
        <v>14</v>
      </c>
      <c r="BH2" s="10" t="s">
        <v>15</v>
      </c>
      <c r="BI2" s="15" t="s">
        <v>15</v>
      </c>
      <c r="BJ2" s="22" t="s">
        <v>13</v>
      </c>
      <c r="BK2" s="10" t="s">
        <v>14</v>
      </c>
      <c r="BL2" s="10" t="s">
        <v>15</v>
      </c>
      <c r="BM2" s="15" t="s">
        <v>15</v>
      </c>
      <c r="BN2" s="22" t="s">
        <v>13</v>
      </c>
      <c r="BO2" s="10" t="s">
        <v>14</v>
      </c>
      <c r="BP2" s="10" t="s">
        <v>15</v>
      </c>
      <c r="BQ2" s="8"/>
      <c r="BR2" s="22" t="s">
        <v>13</v>
      </c>
      <c r="BS2" s="10" t="s">
        <v>14</v>
      </c>
      <c r="BT2" s="10" t="s">
        <v>15</v>
      </c>
      <c r="BU2" s="8"/>
      <c r="BV2" s="22" t="s">
        <v>13</v>
      </c>
      <c r="BW2" s="22"/>
      <c r="BX2" s="8"/>
      <c r="BY2" s="22"/>
      <c r="CA2" s="22" t="s">
        <v>13</v>
      </c>
      <c r="CC2" s="22" t="s">
        <v>13</v>
      </c>
      <c r="CE2" s="22" t="s">
        <v>13</v>
      </c>
      <c r="CG2" s="22" t="s">
        <v>13</v>
      </c>
    </row>
    <row r="3" spans="1:86" x14ac:dyDescent="0.25">
      <c r="A3" s="13" t="s">
        <v>140</v>
      </c>
      <c r="B3" t="s">
        <v>78</v>
      </c>
      <c r="F3" t="s">
        <v>87</v>
      </c>
      <c r="J3" t="s">
        <v>90</v>
      </c>
      <c r="N3" t="s">
        <v>77</v>
      </c>
      <c r="R3" t="s">
        <v>83</v>
      </c>
      <c r="V3" t="s">
        <v>79</v>
      </c>
      <c r="Z3" t="s">
        <v>80</v>
      </c>
      <c r="AD3" t="s">
        <v>69</v>
      </c>
      <c r="AH3" t="s">
        <v>68</v>
      </c>
      <c r="AL3" t="s">
        <v>67</v>
      </c>
      <c r="AP3" t="s">
        <v>141</v>
      </c>
      <c r="AT3" t="s">
        <v>142</v>
      </c>
      <c r="AX3" t="s">
        <v>143</v>
      </c>
      <c r="BB3" t="s">
        <v>144</v>
      </c>
      <c r="BF3" t="s">
        <v>145</v>
      </c>
      <c r="BJ3" s="23" t="s">
        <v>146</v>
      </c>
      <c r="BN3" s="23" t="s">
        <v>147</v>
      </c>
      <c r="BR3" s="23" t="s">
        <v>148</v>
      </c>
      <c r="BV3" s="23" t="s">
        <v>149</v>
      </c>
      <c r="BW3" s="23" t="s">
        <v>150</v>
      </c>
      <c r="BY3" s="23" t="s">
        <v>151</v>
      </c>
      <c r="CA3" s="23" t="s">
        <v>152</v>
      </c>
      <c r="CC3" s="23" t="s">
        <v>136</v>
      </c>
      <c r="CE3" s="23" t="s">
        <v>114</v>
      </c>
      <c r="CG3" s="23" t="s">
        <v>118</v>
      </c>
    </row>
    <row r="4" spans="1:86" ht="18.75" x14ac:dyDescent="0.3">
      <c r="A4" s="18" t="s">
        <v>32</v>
      </c>
      <c r="B4" s="7"/>
      <c r="C4" s="7"/>
      <c r="D4" s="7"/>
      <c r="E4" s="15"/>
      <c r="F4" s="7"/>
      <c r="G4" s="7"/>
      <c r="H4" s="7"/>
      <c r="I4" s="15"/>
      <c r="J4" s="7"/>
      <c r="K4" s="7"/>
      <c r="L4" s="7"/>
      <c r="M4" s="15"/>
      <c r="N4" s="7"/>
      <c r="O4" s="7"/>
      <c r="P4" s="7"/>
      <c r="Q4" s="15"/>
      <c r="R4" s="7"/>
      <c r="S4" s="7"/>
      <c r="T4" s="7"/>
      <c r="U4" s="15"/>
      <c r="V4" s="7"/>
      <c r="W4" s="7"/>
      <c r="X4" s="7"/>
      <c r="Y4" s="15"/>
      <c r="Z4" s="7"/>
      <c r="AA4" s="7"/>
      <c r="AB4" s="7"/>
      <c r="AC4" s="15"/>
      <c r="AD4" s="7"/>
      <c r="AE4" s="7"/>
      <c r="AF4" s="7"/>
      <c r="AG4" s="15"/>
      <c r="AH4" s="7"/>
      <c r="AI4" s="7"/>
      <c r="AJ4" s="7"/>
      <c r="AK4" s="15"/>
      <c r="AL4" s="7"/>
      <c r="AM4" s="7"/>
      <c r="AN4" s="7"/>
      <c r="AO4" s="15"/>
      <c r="AP4" s="7"/>
      <c r="AQ4" s="7"/>
      <c r="AR4" s="7"/>
      <c r="AS4" s="15"/>
      <c r="AT4" s="7"/>
      <c r="AU4" s="7"/>
      <c r="AV4" s="7"/>
      <c r="AW4" s="15"/>
      <c r="AX4" s="7"/>
      <c r="AY4" s="7"/>
      <c r="AZ4" s="7"/>
      <c r="BA4" s="15"/>
      <c r="BB4" s="7"/>
      <c r="BC4" s="7"/>
      <c r="BD4" s="7"/>
      <c r="BE4" s="15"/>
      <c r="BF4" s="7"/>
      <c r="BG4" s="7"/>
      <c r="BH4" s="7"/>
      <c r="BI4" s="15"/>
      <c r="BJ4" s="14"/>
      <c r="BK4" s="7"/>
      <c r="BL4" s="7"/>
      <c r="BM4" s="15"/>
      <c r="BN4" s="14"/>
      <c r="BO4" s="7"/>
      <c r="BP4" s="7"/>
      <c r="BQ4" s="8"/>
      <c r="BR4" s="14"/>
      <c r="BS4" s="7"/>
      <c r="BT4" s="7"/>
      <c r="BU4" s="8"/>
      <c r="BV4" s="14"/>
      <c r="BW4" s="14"/>
      <c r="BX4" s="8"/>
      <c r="BY4" s="14"/>
      <c r="CA4" s="14"/>
      <c r="CC4" s="14"/>
      <c r="CE4" s="14"/>
      <c r="CG4" s="14"/>
    </row>
    <row r="5" spans="1:86" x14ac:dyDescent="0.25">
      <c r="A5" s="1" t="s">
        <v>17</v>
      </c>
      <c r="B5" s="7"/>
      <c r="C5" s="7"/>
      <c r="D5" s="7"/>
      <c r="E5" s="15"/>
      <c r="F5" s="7"/>
      <c r="G5" s="7"/>
      <c r="H5" s="7"/>
      <c r="I5" s="15"/>
      <c r="J5" s="7"/>
      <c r="K5" s="7"/>
      <c r="L5" s="7"/>
      <c r="M5" s="15"/>
      <c r="N5" s="7"/>
      <c r="O5" s="7"/>
      <c r="P5" s="7"/>
      <c r="Q5" s="15"/>
      <c r="R5" s="7"/>
      <c r="S5" s="7"/>
      <c r="T5" s="7"/>
      <c r="U5" s="15"/>
      <c r="V5" s="7"/>
      <c r="W5" s="7"/>
      <c r="X5" s="7"/>
      <c r="Y5" s="15"/>
      <c r="Z5" s="7"/>
      <c r="AA5" s="7"/>
      <c r="AB5" s="7"/>
      <c r="AC5" s="15"/>
      <c r="AD5" s="7"/>
      <c r="AE5" s="7"/>
      <c r="AF5" s="7"/>
      <c r="AG5" s="15"/>
      <c r="AH5" s="7"/>
      <c r="AI5" s="7"/>
      <c r="AJ5" s="7"/>
      <c r="AK5" s="15"/>
      <c r="AL5" s="7"/>
      <c r="AM5" s="7"/>
      <c r="AN5" s="7"/>
      <c r="AO5" s="15"/>
      <c r="AP5" s="7"/>
      <c r="AQ5" s="7"/>
      <c r="AR5" s="7"/>
      <c r="AS5" s="15"/>
      <c r="AT5" s="7"/>
      <c r="AU5" s="7"/>
      <c r="AV5" s="7"/>
      <c r="AW5" s="15"/>
      <c r="AX5" s="7"/>
      <c r="AY5" s="7"/>
      <c r="AZ5" s="7"/>
      <c r="BA5" s="15"/>
      <c r="BB5" s="7"/>
      <c r="BC5" s="7"/>
      <c r="BD5" s="7"/>
      <c r="BE5" s="15"/>
      <c r="BF5" s="7"/>
      <c r="BG5" s="7"/>
      <c r="BH5" s="7"/>
      <c r="BI5" s="15"/>
      <c r="BJ5" s="14"/>
      <c r="BK5" s="7"/>
      <c r="BL5" s="7"/>
      <c r="BM5" s="15"/>
      <c r="BN5" s="14"/>
      <c r="BO5" s="7"/>
      <c r="BP5" s="7"/>
      <c r="BQ5" s="15"/>
      <c r="BR5" s="14"/>
      <c r="BS5" s="7"/>
      <c r="BT5" s="7"/>
      <c r="BU5" s="15"/>
      <c r="BV5" s="14"/>
      <c r="BW5" s="14"/>
      <c r="BX5" s="15"/>
      <c r="BY5" s="14"/>
      <c r="CA5" s="14"/>
      <c r="CC5" s="14"/>
      <c r="CE5" s="14"/>
      <c r="CG5" s="14"/>
    </row>
    <row r="6" spans="1:86" x14ac:dyDescent="0.25">
      <c r="A6" s="3" t="s">
        <v>1</v>
      </c>
      <c r="B6" s="3"/>
      <c r="C6" s="3"/>
      <c r="D6" s="3"/>
      <c r="E6" s="14">
        <f t="shared" ref="E6:E14" si="0">240*B6+12*C6+D6</f>
        <v>0</v>
      </c>
      <c r="F6" s="3">
        <f>124+158+170+320</f>
        <v>772</v>
      </c>
      <c r="G6" s="3">
        <f>12+15</f>
        <v>27</v>
      </c>
      <c r="H6" s="3">
        <v>6</v>
      </c>
      <c r="I6" s="14">
        <f t="shared" ref="I6:I14" si="1">240*F6+12*G6+H6</f>
        <v>185610</v>
      </c>
      <c r="J6" s="3">
        <f>102+212+400+800</f>
        <v>1514</v>
      </c>
      <c r="K6" s="3">
        <f>12+6</f>
        <v>18</v>
      </c>
      <c r="L6" s="3">
        <v>6</v>
      </c>
      <c r="M6" s="14">
        <f t="shared" ref="M6:M14" si="2">240*J6+12*K6+L6</f>
        <v>363582</v>
      </c>
      <c r="N6" s="3">
        <f>83+516+320+540</f>
        <v>1459</v>
      </c>
      <c r="O6" s="3">
        <f>4</f>
        <v>4</v>
      </c>
      <c r="P6" s="3"/>
      <c r="Q6" s="14">
        <f t="shared" ref="Q6:Q14" si="3">240*N6+12*O6+P6</f>
        <v>350208</v>
      </c>
      <c r="R6" s="3">
        <f>767+310+240</f>
        <v>1317</v>
      </c>
      <c r="S6" s="3">
        <v>4</v>
      </c>
      <c r="T6" s="3"/>
      <c r="U6" s="14">
        <f t="shared" ref="U6:U14" si="4">240*R6+12*S6+T6</f>
        <v>316128</v>
      </c>
      <c r="V6" s="3">
        <f>44+1102+170+120+160</f>
        <v>1596</v>
      </c>
      <c r="W6" s="3">
        <f>4</f>
        <v>4</v>
      </c>
      <c r="X6" s="3"/>
      <c r="Y6" s="14">
        <f t="shared" ref="Y6:Y14" si="5">240*V6+12*W6+X6</f>
        <v>383088</v>
      </c>
      <c r="Z6" s="3">
        <v>1634</v>
      </c>
      <c r="AA6" s="3">
        <v>4</v>
      </c>
      <c r="AB6" s="3"/>
      <c r="AC6" s="14">
        <f t="shared" ref="AC6:AC14" si="6">240*Z6+12*AA6+AB6</f>
        <v>392208</v>
      </c>
      <c r="AD6" s="3">
        <v>1516</v>
      </c>
      <c r="AE6" s="3">
        <v>4</v>
      </c>
      <c r="AF6" s="3">
        <v>0</v>
      </c>
      <c r="AG6" s="14">
        <f t="shared" ref="AG6:AG14" si="7">240*AD6+12*AE6+AF6</f>
        <v>363888</v>
      </c>
      <c r="AH6" s="3">
        <f>999+20+336+120</f>
        <v>1475</v>
      </c>
      <c r="AI6" s="3"/>
      <c r="AJ6" s="3"/>
      <c r="AK6" s="14">
        <f t="shared" ref="AK6:AK14" si="8">240*AH6+12*AI6+AJ6</f>
        <v>354000</v>
      </c>
      <c r="AL6" s="3">
        <f>1045+301+180</f>
        <v>1526</v>
      </c>
      <c r="AM6" s="3">
        <v>0</v>
      </c>
      <c r="AN6" s="3">
        <v>0</v>
      </c>
      <c r="AO6" s="14">
        <f t="shared" ref="AO6:AO14" si="9">240*AL6+12*AM6+AN6</f>
        <v>366240</v>
      </c>
      <c r="AP6" s="3">
        <v>1550</v>
      </c>
      <c r="AQ6" s="3">
        <v>0</v>
      </c>
      <c r="AR6" s="3">
        <v>0</v>
      </c>
      <c r="AS6" s="14">
        <f t="shared" ref="AS6:AS14" si="10">240*AP6+12*AQ6+AR6</f>
        <v>372000</v>
      </c>
      <c r="AT6" s="3">
        <v>1727</v>
      </c>
      <c r="AU6" s="3">
        <v>4</v>
      </c>
      <c r="AV6" s="3">
        <v>11</v>
      </c>
      <c r="AW6" s="14">
        <f t="shared" ref="AW6:AW14" si="11">240*AT6+12*AU6+AV6</f>
        <v>414539</v>
      </c>
      <c r="AX6" s="3">
        <v>1683</v>
      </c>
      <c r="AY6" s="3">
        <v>11</v>
      </c>
      <c r="AZ6" s="3">
        <v>2</v>
      </c>
      <c r="BA6" s="14">
        <f t="shared" ref="BA6:BA14" si="12">240*AX6+12*AY6+AZ6</f>
        <v>404054</v>
      </c>
      <c r="BB6" s="3">
        <v>2120</v>
      </c>
      <c r="BC6" s="3"/>
      <c r="BD6" s="3"/>
      <c r="BE6" s="14">
        <f t="shared" ref="BE6:BE11" si="13">240*BB6+12*BC6+BD6</f>
        <v>508800</v>
      </c>
      <c r="BF6" s="3">
        <v>2210</v>
      </c>
      <c r="BG6" s="3"/>
      <c r="BH6" s="3"/>
      <c r="BI6" s="14">
        <f t="shared" ref="BI6:BI14" si="14">240*BF6+12*BG6+BH6</f>
        <v>530400</v>
      </c>
      <c r="BJ6" s="24">
        <v>2530</v>
      </c>
      <c r="BK6" s="3">
        <v>0</v>
      </c>
      <c r="BL6" s="3">
        <v>0</v>
      </c>
      <c r="BM6" s="14">
        <f t="shared" ref="BM6:BM14" si="15">240*BJ6+12*BK6+BL6</f>
        <v>607200</v>
      </c>
      <c r="BN6" s="24">
        <v>3255</v>
      </c>
      <c r="BO6" s="3"/>
      <c r="BP6" s="3"/>
      <c r="BQ6" s="14"/>
      <c r="BR6" s="24">
        <v>6340</v>
      </c>
      <c r="BS6" s="3"/>
      <c r="BT6" s="3"/>
      <c r="BU6" s="14"/>
      <c r="BV6" s="24">
        <v>15960</v>
      </c>
      <c r="BW6" s="24">
        <v>16340</v>
      </c>
      <c r="BX6" s="14"/>
      <c r="BY6" s="24">
        <v>57849</v>
      </c>
      <c r="CA6" s="24">
        <v>128000</v>
      </c>
      <c r="CC6" s="24">
        <f>144000+2000</f>
        <v>146000</v>
      </c>
      <c r="CE6" s="24">
        <v>185000</v>
      </c>
      <c r="CG6" s="24">
        <v>203000</v>
      </c>
    </row>
    <row r="7" spans="1:86" x14ac:dyDescent="0.25">
      <c r="A7" s="3" t="s">
        <v>70</v>
      </c>
      <c r="B7" s="3"/>
      <c r="C7" s="3"/>
      <c r="D7" s="3"/>
      <c r="E7" s="14">
        <f t="shared" si="0"/>
        <v>0</v>
      </c>
      <c r="F7" s="3">
        <f>284+683</f>
        <v>967</v>
      </c>
      <c r="G7" s="3">
        <f>4+9</f>
        <v>13</v>
      </c>
      <c r="H7" s="3">
        <v>2</v>
      </c>
      <c r="I7" s="14">
        <f t="shared" si="1"/>
        <v>232238</v>
      </c>
      <c r="J7" s="3">
        <f>284+608</f>
        <v>892</v>
      </c>
      <c r="K7" s="3">
        <f>4+9</f>
        <v>13</v>
      </c>
      <c r="L7" s="3">
        <v>2</v>
      </c>
      <c r="M7" s="14">
        <f t="shared" si="2"/>
        <v>214238</v>
      </c>
      <c r="N7" s="3">
        <f>133+721</f>
        <v>854</v>
      </c>
      <c r="O7" s="3">
        <f>10+17</f>
        <v>27</v>
      </c>
      <c r="P7" s="3">
        <f>9+8</f>
        <v>17</v>
      </c>
      <c r="Q7" s="14">
        <f t="shared" si="3"/>
        <v>205301</v>
      </c>
      <c r="R7" s="3">
        <f>189+731</f>
        <v>920</v>
      </c>
      <c r="S7" s="3">
        <f>4+15</f>
        <v>19</v>
      </c>
      <c r="T7" s="3">
        <v>1</v>
      </c>
      <c r="U7" s="14">
        <f t="shared" si="4"/>
        <v>221029</v>
      </c>
      <c r="V7" s="3">
        <f>1528+155+70+3+10+34</f>
        <v>1800</v>
      </c>
      <c r="W7" s="3">
        <f>5+16+0+11+19</f>
        <v>51</v>
      </c>
      <c r="X7" s="3">
        <f>3+6+10</f>
        <v>19</v>
      </c>
      <c r="Y7" s="14">
        <f t="shared" si="5"/>
        <v>432631</v>
      </c>
      <c r="Z7" s="3">
        <f>238+1175</f>
        <v>1413</v>
      </c>
      <c r="AA7" s="3">
        <f>8+6</f>
        <v>14</v>
      </c>
      <c r="AB7" s="3">
        <f>6+11</f>
        <v>17</v>
      </c>
      <c r="AC7" s="14">
        <f t="shared" si="6"/>
        <v>339305</v>
      </c>
      <c r="AD7" s="3">
        <f>252+1478</f>
        <v>1730</v>
      </c>
      <c r="AE7" s="3">
        <f>17+16</f>
        <v>33</v>
      </c>
      <c r="AF7" s="3">
        <f>0+4</f>
        <v>4</v>
      </c>
      <c r="AG7" s="14">
        <f t="shared" si="7"/>
        <v>415600</v>
      </c>
      <c r="AH7" s="3">
        <f>201+1146+586</f>
        <v>1933</v>
      </c>
      <c r="AI7" s="3">
        <f>9+4+13</f>
        <v>26</v>
      </c>
      <c r="AJ7" s="3">
        <f>7+2+10</f>
        <v>19</v>
      </c>
      <c r="AK7" s="14">
        <f t="shared" si="8"/>
        <v>464251</v>
      </c>
      <c r="AL7" s="3">
        <f>103+588+2032+585</f>
        <v>3308</v>
      </c>
      <c r="AM7" s="3">
        <f>14+18+9</f>
        <v>41</v>
      </c>
      <c r="AN7" s="3">
        <f>5+9+9</f>
        <v>23</v>
      </c>
      <c r="AO7" s="14">
        <f t="shared" si="9"/>
        <v>794435</v>
      </c>
      <c r="AP7" s="3">
        <v>3339</v>
      </c>
      <c r="AQ7" s="3">
        <v>15</v>
      </c>
      <c r="AR7" s="3">
        <v>8</v>
      </c>
      <c r="AS7" s="14">
        <f t="shared" si="10"/>
        <v>801548</v>
      </c>
      <c r="AT7" s="3">
        <v>3548</v>
      </c>
      <c r="AU7" s="3">
        <v>19</v>
      </c>
      <c r="AV7" s="3">
        <v>8</v>
      </c>
      <c r="AW7" s="14">
        <f t="shared" si="11"/>
        <v>851756</v>
      </c>
      <c r="AX7" s="3">
        <v>5088</v>
      </c>
      <c r="AY7" s="3">
        <v>14</v>
      </c>
      <c r="AZ7" s="3">
        <v>11</v>
      </c>
      <c r="BA7" s="14">
        <f t="shared" si="12"/>
        <v>1221299</v>
      </c>
      <c r="BB7" s="3">
        <v>5752</v>
      </c>
      <c r="BC7" s="3">
        <v>16</v>
      </c>
      <c r="BD7" s="3">
        <v>10</v>
      </c>
      <c r="BE7" s="14">
        <f t="shared" si="13"/>
        <v>1380682</v>
      </c>
      <c r="BF7" s="3">
        <v>4524</v>
      </c>
      <c r="BG7" s="3">
        <v>11</v>
      </c>
      <c r="BH7" s="3">
        <v>7</v>
      </c>
      <c r="BI7" s="14">
        <f t="shared" si="14"/>
        <v>1085899</v>
      </c>
      <c r="BJ7" s="24">
        <v>5814</v>
      </c>
      <c r="BK7" s="3">
        <v>13</v>
      </c>
      <c r="BL7" s="3">
        <v>6</v>
      </c>
      <c r="BM7" s="14">
        <f t="shared" si="15"/>
        <v>1395522</v>
      </c>
      <c r="BN7" s="24">
        <v>15854</v>
      </c>
      <c r="BO7" s="3"/>
      <c r="BP7" s="3"/>
      <c r="BQ7" s="14"/>
      <c r="BR7" s="24">
        <v>38728</v>
      </c>
      <c r="BS7" s="3"/>
      <c r="BT7" s="3"/>
      <c r="BU7" s="14"/>
      <c r="BV7" s="24">
        <v>162683</v>
      </c>
      <c r="BW7" s="24">
        <v>321817</v>
      </c>
      <c r="BX7" s="14"/>
      <c r="BY7" s="24">
        <f>439493+151018</f>
        <v>590511</v>
      </c>
      <c r="CA7" s="24">
        <v>534000</v>
      </c>
      <c r="CC7" s="24">
        <v>673000</v>
      </c>
      <c r="CE7" s="24">
        <f>100000+550000</f>
        <v>650000</v>
      </c>
      <c r="CG7" s="24">
        <v>1088000</v>
      </c>
    </row>
    <row r="8" spans="1:86" x14ac:dyDescent="0.25">
      <c r="A8" s="3" t="s">
        <v>41</v>
      </c>
      <c r="B8" s="3"/>
      <c r="C8" s="3"/>
      <c r="D8" s="3"/>
      <c r="E8" s="14">
        <f t="shared" si="0"/>
        <v>0</v>
      </c>
      <c r="F8" s="3"/>
      <c r="G8" s="3"/>
      <c r="H8" s="3"/>
      <c r="I8" s="14">
        <f t="shared" si="1"/>
        <v>0</v>
      </c>
      <c r="J8" s="3"/>
      <c r="K8" s="3"/>
      <c r="L8" s="3"/>
      <c r="M8" s="14">
        <f t="shared" si="2"/>
        <v>0</v>
      </c>
      <c r="N8" s="3"/>
      <c r="O8" s="3"/>
      <c r="P8" s="3"/>
      <c r="Q8" s="14">
        <f t="shared" si="3"/>
        <v>0</v>
      </c>
      <c r="R8" s="3">
        <v>1288</v>
      </c>
      <c r="S8" s="3">
        <v>13</v>
      </c>
      <c r="T8" s="3">
        <v>2</v>
      </c>
      <c r="U8" s="14">
        <f>240*R8+12*S8+T8</f>
        <v>309278</v>
      </c>
      <c r="V8" s="3">
        <v>42</v>
      </c>
      <c r="W8" s="3">
        <v>18</v>
      </c>
      <c r="X8" s="3">
        <v>5</v>
      </c>
      <c r="Y8" s="14">
        <f>240*V8+12*W8+X8</f>
        <v>10301</v>
      </c>
      <c r="Z8" s="3">
        <v>41</v>
      </c>
      <c r="AA8" s="3">
        <v>2</v>
      </c>
      <c r="AB8" s="3">
        <v>10</v>
      </c>
      <c r="AC8" s="14">
        <f>240*Z8+12*AA8+AB8</f>
        <v>9874</v>
      </c>
      <c r="AD8" s="3"/>
      <c r="AE8" s="3"/>
      <c r="AF8" s="3"/>
      <c r="AG8" s="14">
        <f t="shared" si="7"/>
        <v>0</v>
      </c>
      <c r="AH8" s="3"/>
      <c r="AI8" s="3"/>
      <c r="AJ8" s="3"/>
      <c r="AK8" s="14">
        <f t="shared" si="8"/>
        <v>0</v>
      </c>
      <c r="AL8" s="3">
        <f>8+210+1600+187</f>
        <v>2005</v>
      </c>
      <c r="AM8" s="3">
        <f>5+5+2</f>
        <v>12</v>
      </c>
      <c r="AN8" s="3">
        <f>0+4</f>
        <v>4</v>
      </c>
      <c r="AO8" s="14">
        <f t="shared" si="9"/>
        <v>481348</v>
      </c>
      <c r="AP8" s="3">
        <v>620</v>
      </c>
      <c r="AQ8" s="3">
        <v>5</v>
      </c>
      <c r="AR8" s="3">
        <v>11</v>
      </c>
      <c r="AS8" s="14">
        <f t="shared" si="10"/>
        <v>148871</v>
      </c>
      <c r="AT8" s="3">
        <v>205</v>
      </c>
      <c r="AU8" s="3"/>
      <c r="AV8" s="3"/>
      <c r="AW8" s="14">
        <f>240*AT8+12*AU8+AV8</f>
        <v>49200</v>
      </c>
      <c r="AX8" s="3"/>
      <c r="AY8" s="3"/>
      <c r="AZ8" s="3"/>
      <c r="BA8" s="14">
        <f t="shared" si="12"/>
        <v>0</v>
      </c>
      <c r="BB8" s="3">
        <v>10</v>
      </c>
      <c r="BC8" s="3">
        <v>0</v>
      </c>
      <c r="BD8" s="3">
        <v>7</v>
      </c>
      <c r="BE8" s="14">
        <f t="shared" si="13"/>
        <v>2407</v>
      </c>
      <c r="BF8" s="3"/>
      <c r="BG8" s="3"/>
      <c r="BH8" s="3"/>
      <c r="BI8" s="14">
        <f t="shared" si="14"/>
        <v>0</v>
      </c>
      <c r="BJ8" s="24"/>
      <c r="BK8" s="3"/>
      <c r="BL8" s="3"/>
      <c r="BM8" s="14">
        <f t="shared" si="15"/>
        <v>0</v>
      </c>
      <c r="BN8" s="24"/>
      <c r="BO8" s="3"/>
      <c r="BP8" s="3"/>
      <c r="BQ8" s="14"/>
      <c r="BR8" s="24"/>
      <c r="BS8" s="3"/>
      <c r="BT8" s="3"/>
      <c r="BU8" s="14"/>
      <c r="BV8" s="24"/>
      <c r="BW8" s="24"/>
      <c r="BX8" s="14"/>
      <c r="BY8" s="24">
        <f>19394</f>
        <v>19394</v>
      </c>
      <c r="CA8" s="24"/>
      <c r="CC8" s="24"/>
      <c r="CE8" s="24"/>
      <c r="CG8" s="24"/>
    </row>
    <row r="9" spans="1:86" x14ac:dyDescent="0.25">
      <c r="A9" s="3" t="s">
        <v>123</v>
      </c>
      <c r="B9" s="3"/>
      <c r="C9" s="3"/>
      <c r="D9" s="3"/>
      <c r="E9" s="14">
        <f t="shared" si="0"/>
        <v>0</v>
      </c>
      <c r="F9" s="3"/>
      <c r="G9" s="3"/>
      <c r="H9" s="3"/>
      <c r="I9" s="14">
        <f t="shared" si="1"/>
        <v>0</v>
      </c>
      <c r="J9" s="3"/>
      <c r="K9" s="3"/>
      <c r="L9" s="3"/>
      <c r="M9" s="14">
        <f t="shared" si="2"/>
        <v>0</v>
      </c>
      <c r="N9" s="3"/>
      <c r="O9" s="3"/>
      <c r="P9" s="3"/>
      <c r="Q9" s="14">
        <f t="shared" si="3"/>
        <v>0</v>
      </c>
      <c r="AD9" s="3"/>
      <c r="AE9" s="3"/>
      <c r="AF9" s="3"/>
      <c r="AG9" s="14">
        <f t="shared" si="7"/>
        <v>0</v>
      </c>
      <c r="AH9" s="3"/>
      <c r="AI9" s="3"/>
      <c r="AJ9" s="3"/>
      <c r="AK9" s="14">
        <f t="shared" si="8"/>
        <v>0</v>
      </c>
      <c r="AL9" s="3"/>
      <c r="AM9" s="3"/>
      <c r="AN9" s="3"/>
      <c r="AO9" s="14">
        <f t="shared" si="9"/>
        <v>0</v>
      </c>
      <c r="AP9" s="3"/>
      <c r="AQ9" s="3"/>
      <c r="AR9" s="3"/>
      <c r="AS9" s="14">
        <f t="shared" si="10"/>
        <v>0</v>
      </c>
      <c r="AX9" s="3"/>
      <c r="AY9" s="3"/>
      <c r="AZ9" s="3"/>
      <c r="BA9" s="14">
        <f t="shared" si="12"/>
        <v>0</v>
      </c>
      <c r="BB9" s="3"/>
      <c r="BC9" s="3"/>
      <c r="BD9" s="3"/>
      <c r="BE9" s="14">
        <f t="shared" si="13"/>
        <v>0</v>
      </c>
      <c r="BF9" s="3"/>
      <c r="BG9" s="3"/>
      <c r="BH9" s="3"/>
      <c r="BI9" s="14">
        <f t="shared" si="14"/>
        <v>0</v>
      </c>
      <c r="BJ9" s="24"/>
      <c r="BK9" s="3"/>
      <c r="BL9" s="3"/>
      <c r="BM9" s="14">
        <f t="shared" si="15"/>
        <v>0</v>
      </c>
      <c r="BN9" s="24"/>
      <c r="BO9" s="3"/>
      <c r="BP9" s="3"/>
      <c r="BQ9" s="14"/>
      <c r="BR9" s="24"/>
      <c r="BS9" s="3"/>
      <c r="BT9" s="3"/>
      <c r="BU9" s="14"/>
      <c r="BV9" s="24"/>
      <c r="BW9" s="24"/>
      <c r="BX9" s="14"/>
      <c r="BY9" s="24">
        <f>2280</f>
        <v>2280</v>
      </c>
      <c r="CA9" s="24">
        <v>590000</v>
      </c>
      <c r="CC9" s="24">
        <v>59000</v>
      </c>
      <c r="CE9" s="24">
        <f>25000+57000</f>
        <v>82000</v>
      </c>
      <c r="CG9" s="24">
        <v>2938000</v>
      </c>
    </row>
    <row r="10" spans="1:86" x14ac:dyDescent="0.25">
      <c r="A10" s="3" t="s">
        <v>65</v>
      </c>
      <c r="B10" s="3"/>
      <c r="C10" s="3"/>
      <c r="D10" s="3"/>
      <c r="E10" s="14">
        <f t="shared" si="0"/>
        <v>0</v>
      </c>
      <c r="F10" s="3"/>
      <c r="G10" s="3"/>
      <c r="H10" s="3"/>
      <c r="I10" s="14">
        <f t="shared" si="1"/>
        <v>0</v>
      </c>
      <c r="J10" s="3"/>
      <c r="K10" s="3"/>
      <c r="L10" s="3"/>
      <c r="M10" s="14">
        <f t="shared" si="2"/>
        <v>0</v>
      </c>
      <c r="N10" s="3"/>
      <c r="O10" s="3"/>
      <c r="P10" s="3"/>
      <c r="Q10" s="14">
        <f t="shared" si="3"/>
        <v>0</v>
      </c>
      <c r="R10" s="3"/>
      <c r="S10" s="3"/>
      <c r="T10" s="3"/>
      <c r="U10" s="14">
        <f t="shared" si="4"/>
        <v>0</v>
      </c>
      <c r="V10" s="3"/>
      <c r="W10" s="3"/>
      <c r="X10" s="3"/>
      <c r="Y10" s="14">
        <f t="shared" si="5"/>
        <v>0</v>
      </c>
      <c r="Z10" s="3"/>
      <c r="AA10" s="3"/>
      <c r="AB10" s="3"/>
      <c r="AC10" s="14">
        <f t="shared" si="6"/>
        <v>0</v>
      </c>
      <c r="AD10" s="3"/>
      <c r="AE10" s="3"/>
      <c r="AF10" s="3"/>
      <c r="AG10" s="14">
        <f t="shared" si="7"/>
        <v>0</v>
      </c>
      <c r="AH10" s="3"/>
      <c r="AI10" s="3"/>
      <c r="AJ10" s="3"/>
      <c r="AK10" s="14">
        <f t="shared" si="8"/>
        <v>0</v>
      </c>
      <c r="AL10" s="3"/>
      <c r="AM10" s="3"/>
      <c r="AN10" s="3"/>
      <c r="AO10" s="14">
        <f t="shared" si="9"/>
        <v>0</v>
      </c>
      <c r="AP10" s="3"/>
      <c r="AQ10" s="3"/>
      <c r="AR10" s="3"/>
      <c r="AS10" s="14">
        <f t="shared" si="10"/>
        <v>0</v>
      </c>
      <c r="AT10" s="3"/>
      <c r="AU10" s="3"/>
      <c r="AV10" s="3"/>
      <c r="AW10" s="14">
        <f t="shared" si="11"/>
        <v>0</v>
      </c>
      <c r="AX10" s="3"/>
      <c r="AY10" s="3"/>
      <c r="AZ10" s="3"/>
      <c r="BA10" s="14">
        <f t="shared" si="12"/>
        <v>0</v>
      </c>
      <c r="BB10" s="3"/>
      <c r="BC10" s="3"/>
      <c r="BD10" s="3"/>
      <c r="BE10" s="14">
        <f t="shared" si="13"/>
        <v>0</v>
      </c>
      <c r="BF10" s="3">
        <v>2317</v>
      </c>
      <c r="BG10" s="3">
        <v>0</v>
      </c>
      <c r="BH10" s="3">
        <v>8</v>
      </c>
      <c r="BI10" s="14">
        <f t="shared" si="14"/>
        <v>556088</v>
      </c>
      <c r="BJ10" s="24">
        <v>6584</v>
      </c>
      <c r="BK10" s="3">
        <v>16</v>
      </c>
      <c r="BL10" s="3">
        <v>2</v>
      </c>
      <c r="BM10" s="14">
        <f t="shared" si="15"/>
        <v>1580354</v>
      </c>
      <c r="BN10" s="24">
        <v>25341</v>
      </c>
      <c r="BO10" s="3"/>
      <c r="BP10" s="3"/>
      <c r="BQ10" s="14"/>
      <c r="BR10" s="24">
        <v>58879</v>
      </c>
      <c r="BS10" s="3"/>
      <c r="BT10" s="3"/>
      <c r="BU10" s="14"/>
      <c r="BV10" s="24">
        <v>315864</v>
      </c>
      <c r="BW10" s="24">
        <v>444193</v>
      </c>
      <c r="BX10" s="14"/>
      <c r="BY10" s="24">
        <v>1354405</v>
      </c>
      <c r="CA10" s="24">
        <f>1567000+91000</f>
        <v>1658000</v>
      </c>
      <c r="CC10" s="24">
        <v>1886000</v>
      </c>
      <c r="CE10" s="24">
        <f>1876000+39000</f>
        <v>1915000</v>
      </c>
      <c r="CG10" s="24">
        <f>1770000</f>
        <v>1770000</v>
      </c>
    </row>
    <row r="11" spans="1:86" x14ac:dyDescent="0.25">
      <c r="A11" s="3" t="s">
        <v>107</v>
      </c>
      <c r="B11" s="3"/>
      <c r="C11" s="3"/>
      <c r="D11" s="3"/>
      <c r="E11" s="14">
        <f t="shared" si="0"/>
        <v>0</v>
      </c>
      <c r="F11" s="3"/>
      <c r="G11" s="3"/>
      <c r="H11" s="3"/>
      <c r="I11" s="14">
        <f t="shared" si="1"/>
        <v>0</v>
      </c>
      <c r="J11" s="3"/>
      <c r="K11" s="3"/>
      <c r="L11" s="3"/>
      <c r="M11" s="14">
        <f t="shared" si="2"/>
        <v>0</v>
      </c>
      <c r="N11" s="3"/>
      <c r="O11" s="3"/>
      <c r="P11" s="3"/>
      <c r="Q11" s="14">
        <f t="shared" si="3"/>
        <v>0</v>
      </c>
      <c r="R11" s="3"/>
      <c r="S11" s="3"/>
      <c r="T11" s="3"/>
      <c r="U11" s="14">
        <f t="shared" si="4"/>
        <v>0</v>
      </c>
      <c r="V11" s="3"/>
      <c r="W11" s="3"/>
      <c r="X11" s="3"/>
      <c r="Y11" s="14">
        <f t="shared" si="5"/>
        <v>0</v>
      </c>
      <c r="Z11" s="3">
        <f>20+17+17+13+4</f>
        <v>71</v>
      </c>
      <c r="AA11" s="3">
        <f>4+4+10</f>
        <v>18</v>
      </c>
      <c r="AB11" s="3">
        <f>6+6</f>
        <v>12</v>
      </c>
      <c r="AC11" s="14">
        <f t="shared" si="6"/>
        <v>17268</v>
      </c>
      <c r="AD11" s="3"/>
      <c r="AE11" s="3"/>
      <c r="AF11" s="3"/>
      <c r="AG11" s="14">
        <f t="shared" si="7"/>
        <v>0</v>
      </c>
      <c r="AH11" s="3"/>
      <c r="AI11" s="3"/>
      <c r="AJ11" s="3"/>
      <c r="AK11" s="14">
        <f t="shared" si="8"/>
        <v>0</v>
      </c>
      <c r="AL11" s="3"/>
      <c r="AM11" s="3"/>
      <c r="AN11" s="3"/>
      <c r="AO11" s="14">
        <f t="shared" si="9"/>
        <v>0</v>
      </c>
      <c r="AP11" s="3"/>
      <c r="AQ11" s="3"/>
      <c r="AR11" s="3"/>
      <c r="AS11" s="14">
        <f t="shared" si="10"/>
        <v>0</v>
      </c>
      <c r="AT11" s="3"/>
      <c r="AU11" s="3"/>
      <c r="AV11" s="3"/>
      <c r="AW11" s="14">
        <f t="shared" si="11"/>
        <v>0</v>
      </c>
      <c r="AX11" s="3"/>
      <c r="AY11" s="3"/>
      <c r="AZ11" s="3"/>
      <c r="BA11" s="14">
        <f t="shared" si="12"/>
        <v>0</v>
      </c>
      <c r="BB11" s="3"/>
      <c r="BC11" s="3"/>
      <c r="BD11" s="3"/>
      <c r="BE11" s="14">
        <f t="shared" si="13"/>
        <v>0</v>
      </c>
      <c r="BF11" s="3"/>
      <c r="BG11" s="3"/>
      <c r="BH11" s="3"/>
      <c r="BI11" s="14">
        <f t="shared" si="14"/>
        <v>0</v>
      </c>
      <c r="BJ11" s="24"/>
      <c r="BK11" s="3"/>
      <c r="BL11" s="3"/>
      <c r="BM11" s="14">
        <f t="shared" si="15"/>
        <v>0</v>
      </c>
      <c r="BN11" s="24"/>
      <c r="BO11" s="3"/>
      <c r="BP11" s="3"/>
      <c r="BQ11" s="14"/>
      <c r="BR11" s="24">
        <v>13709</v>
      </c>
      <c r="BS11" s="3"/>
      <c r="BT11" s="3"/>
      <c r="BU11" s="14"/>
      <c r="BV11" s="24">
        <v>65726</v>
      </c>
      <c r="BW11" s="24">
        <v>73353</v>
      </c>
      <c r="BX11" s="14"/>
      <c r="BY11" s="24">
        <v>46406</v>
      </c>
      <c r="CA11" s="24">
        <v>673000</v>
      </c>
      <c r="CC11" s="24">
        <f>2652000-CC30</f>
        <v>879000</v>
      </c>
      <c r="CE11" s="24">
        <f>2135000</f>
        <v>2135000</v>
      </c>
      <c r="CG11" s="24">
        <f>200000+3088000+445000+119000</f>
        <v>3852000</v>
      </c>
    </row>
    <row r="12" spans="1:86" x14ac:dyDescent="0.25">
      <c r="A12" s="3" t="s">
        <v>95</v>
      </c>
      <c r="B12" s="3"/>
      <c r="C12" s="3"/>
      <c r="D12" s="3"/>
      <c r="F12" s="3"/>
      <c r="G12" s="3"/>
      <c r="H12" s="3"/>
      <c r="J12" s="3"/>
      <c r="K12" s="3"/>
      <c r="L12" s="3"/>
      <c r="N12" s="3"/>
      <c r="O12" s="3"/>
      <c r="P12" s="3"/>
      <c r="R12" s="3"/>
      <c r="S12" s="3"/>
      <c r="T12" s="3"/>
      <c r="V12" s="3"/>
      <c r="W12" s="3"/>
      <c r="X12" s="3"/>
      <c r="Z12" s="3"/>
      <c r="AA12" s="3"/>
      <c r="AB12" s="3"/>
      <c r="AD12" s="3"/>
      <c r="AE12" s="3"/>
      <c r="AF12" s="3"/>
      <c r="AH12" s="3"/>
      <c r="AI12" s="3"/>
      <c r="AJ12" s="3"/>
      <c r="AL12" s="3"/>
      <c r="AM12" s="3"/>
      <c r="AN12" s="3"/>
      <c r="AP12" s="3"/>
      <c r="AQ12" s="3"/>
      <c r="AR12" s="3"/>
      <c r="AT12" s="3"/>
      <c r="AU12" s="3"/>
      <c r="AV12" s="3"/>
      <c r="AX12" s="3"/>
      <c r="AY12" s="3"/>
      <c r="AZ12" s="3"/>
      <c r="BB12" s="3"/>
      <c r="BC12" s="3"/>
      <c r="BD12" s="3"/>
      <c r="BF12" s="3"/>
      <c r="BG12" s="3"/>
      <c r="BH12" s="3"/>
      <c r="BJ12" s="24"/>
      <c r="BK12" s="3"/>
      <c r="BL12" s="3"/>
      <c r="BN12" s="24"/>
      <c r="BO12" s="3"/>
      <c r="BP12" s="3"/>
      <c r="BQ12" s="14"/>
      <c r="BR12" s="24"/>
      <c r="BS12" s="3"/>
      <c r="BT12" s="3"/>
      <c r="BU12" s="14"/>
      <c r="BV12" s="24">
        <v>41000</v>
      </c>
      <c r="BW12" s="24">
        <v>41000</v>
      </c>
      <c r="BX12" s="14"/>
      <c r="BY12" s="24">
        <v>305533</v>
      </c>
      <c r="CA12" s="24">
        <v>306000</v>
      </c>
      <c r="CC12" s="24"/>
      <c r="CE12" s="24">
        <v>790000</v>
      </c>
      <c r="CG12" s="24">
        <v>495000</v>
      </c>
    </row>
    <row r="13" spans="1:86" x14ac:dyDescent="0.25">
      <c r="A13" s="3" t="s">
        <v>115</v>
      </c>
      <c r="B13" s="3"/>
      <c r="C13" s="3"/>
      <c r="D13" s="3"/>
      <c r="F13" s="3"/>
      <c r="G13" s="3"/>
      <c r="H13" s="3"/>
      <c r="J13" s="3"/>
      <c r="K13" s="3"/>
      <c r="L13" s="3"/>
      <c r="N13" s="3"/>
      <c r="O13" s="3"/>
      <c r="P13" s="3"/>
      <c r="R13" s="3"/>
      <c r="S13" s="3"/>
      <c r="T13" s="3"/>
      <c r="V13" s="3"/>
      <c r="W13" s="3"/>
      <c r="X13" s="3"/>
      <c r="Z13" s="3"/>
      <c r="AA13" s="3"/>
      <c r="AB13" s="3"/>
      <c r="AD13" s="3"/>
      <c r="AE13" s="3"/>
      <c r="AF13" s="3"/>
      <c r="AH13" s="3"/>
      <c r="AI13" s="3"/>
      <c r="AJ13" s="3"/>
      <c r="AL13" s="3"/>
      <c r="AM13" s="3"/>
      <c r="AN13" s="3"/>
      <c r="AP13" s="3"/>
      <c r="AQ13" s="3"/>
      <c r="AR13" s="3"/>
      <c r="AT13" s="3"/>
      <c r="AU13" s="3"/>
      <c r="AV13" s="3"/>
      <c r="AX13" s="3"/>
      <c r="AY13" s="3"/>
      <c r="AZ13" s="3"/>
      <c r="BB13" s="3"/>
      <c r="BC13" s="3"/>
      <c r="BD13" s="3"/>
      <c r="BF13" s="3"/>
      <c r="BG13" s="3"/>
      <c r="BH13" s="3"/>
      <c r="BJ13" s="24"/>
      <c r="BK13" s="3"/>
      <c r="BL13" s="3"/>
      <c r="BN13" s="24"/>
      <c r="BO13" s="3"/>
      <c r="BP13" s="3"/>
      <c r="BQ13" s="14"/>
      <c r="BR13" s="24"/>
      <c r="BS13" s="3"/>
      <c r="BT13" s="3"/>
      <c r="BU13" s="14"/>
      <c r="BV13" s="24"/>
      <c r="BW13" s="24"/>
      <c r="BX13" s="14"/>
      <c r="BY13" s="24"/>
      <c r="CA13" s="24"/>
      <c r="CE13" s="24">
        <f>10000+556000</f>
        <v>566000</v>
      </c>
      <c r="CG13" s="24"/>
    </row>
    <row r="14" spans="1:86" x14ac:dyDescent="0.25">
      <c r="A14" s="3" t="s">
        <v>21</v>
      </c>
      <c r="B14" s="3"/>
      <c r="C14" s="3"/>
      <c r="D14" s="3"/>
      <c r="E14" s="14">
        <f t="shared" si="0"/>
        <v>0</v>
      </c>
      <c r="F14" s="3"/>
      <c r="G14" s="3"/>
      <c r="H14" s="3"/>
      <c r="I14" s="14">
        <f t="shared" si="1"/>
        <v>0</v>
      </c>
      <c r="J14" s="3"/>
      <c r="K14" s="3"/>
      <c r="L14" s="3"/>
      <c r="M14" s="14">
        <f t="shared" si="2"/>
        <v>0</v>
      </c>
      <c r="N14" s="3"/>
      <c r="O14" s="3"/>
      <c r="P14" s="3"/>
      <c r="Q14" s="14">
        <f t="shared" si="3"/>
        <v>0</v>
      </c>
      <c r="R14" s="3"/>
      <c r="S14" s="3"/>
      <c r="T14" s="3"/>
      <c r="U14" s="14">
        <f t="shared" si="4"/>
        <v>0</v>
      </c>
      <c r="V14" s="3"/>
      <c r="W14" s="3"/>
      <c r="X14" s="3"/>
      <c r="Y14" s="14">
        <f t="shared" si="5"/>
        <v>0</v>
      </c>
      <c r="Z14" s="3">
        <v>783</v>
      </c>
      <c r="AA14" s="3">
        <v>18</v>
      </c>
      <c r="AB14" s="3">
        <v>5</v>
      </c>
      <c r="AC14" s="14">
        <f t="shared" si="6"/>
        <v>188141</v>
      </c>
      <c r="AD14" s="3">
        <v>1</v>
      </c>
      <c r="AE14" s="3">
        <v>18</v>
      </c>
      <c r="AF14" s="3">
        <v>0</v>
      </c>
      <c r="AG14" s="14">
        <f t="shared" si="7"/>
        <v>456</v>
      </c>
      <c r="AH14" s="3">
        <v>6</v>
      </c>
      <c r="AI14" s="3">
        <v>8</v>
      </c>
      <c r="AJ14" s="3">
        <v>9</v>
      </c>
      <c r="AK14" s="14">
        <f t="shared" si="8"/>
        <v>1545</v>
      </c>
      <c r="AL14" s="3">
        <v>59</v>
      </c>
      <c r="AM14" s="3">
        <v>11</v>
      </c>
      <c r="AN14" s="3">
        <v>11</v>
      </c>
      <c r="AO14" s="14">
        <f t="shared" si="9"/>
        <v>14303</v>
      </c>
      <c r="AP14" s="3"/>
      <c r="AQ14" s="3"/>
      <c r="AR14" s="3"/>
      <c r="AS14" s="14">
        <f t="shared" si="10"/>
        <v>0</v>
      </c>
      <c r="AT14" s="3"/>
      <c r="AU14" s="3"/>
      <c r="AV14" s="3"/>
      <c r="AW14" s="14">
        <f t="shared" si="11"/>
        <v>0</v>
      </c>
      <c r="AX14" s="3"/>
      <c r="AY14" s="3"/>
      <c r="AZ14" s="3"/>
      <c r="BA14" s="14">
        <f t="shared" si="12"/>
        <v>0</v>
      </c>
      <c r="BB14" s="3">
        <v>291</v>
      </c>
      <c r="BC14" s="3">
        <v>3</v>
      </c>
      <c r="BD14" s="3">
        <v>11</v>
      </c>
      <c r="BE14" s="14">
        <f>240*BB14+12*BC14+BD14</f>
        <v>69887</v>
      </c>
      <c r="BF14" s="3">
        <f>40</f>
        <v>40</v>
      </c>
      <c r="BG14" s="3">
        <v>11</v>
      </c>
      <c r="BH14" s="3">
        <v>7</v>
      </c>
      <c r="BI14" s="14">
        <f t="shared" si="14"/>
        <v>9739</v>
      </c>
      <c r="BJ14" s="24">
        <f>372</f>
        <v>372</v>
      </c>
      <c r="BK14" s="3">
        <v>19</v>
      </c>
      <c r="BL14" s="3">
        <v>7</v>
      </c>
      <c r="BM14" s="14">
        <f t="shared" si="15"/>
        <v>89515</v>
      </c>
      <c r="BN14" s="24">
        <f>5205</f>
        <v>5205</v>
      </c>
      <c r="BO14" s="3"/>
      <c r="BP14" s="3"/>
      <c r="BQ14" s="14"/>
      <c r="BR14" s="24">
        <f>41000+2406</f>
        <v>43406</v>
      </c>
      <c r="BS14" s="3"/>
      <c r="BT14" s="3"/>
      <c r="BU14" s="14"/>
      <c r="BV14" s="24">
        <v>14274</v>
      </c>
      <c r="BW14" s="24">
        <v>17943</v>
      </c>
      <c r="BX14" s="14"/>
      <c r="BY14" s="24">
        <v>130</v>
      </c>
      <c r="CA14" s="24"/>
      <c r="CC14" s="24">
        <v>-53000</v>
      </c>
      <c r="CE14" s="24">
        <v>63000</v>
      </c>
      <c r="CG14" s="24">
        <v>137000</v>
      </c>
    </row>
    <row r="15" spans="1:86" x14ac:dyDescent="0.25">
      <c r="A15" s="1" t="s">
        <v>31</v>
      </c>
      <c r="B15" s="2">
        <v>1301</v>
      </c>
      <c r="C15" s="2">
        <v>13</v>
      </c>
      <c r="D15" s="2">
        <v>5</v>
      </c>
      <c r="E15" s="14">
        <f>240*B15+12*C15+D15</f>
        <v>312401</v>
      </c>
      <c r="F15" s="2">
        <f>SUM(F6:F14)</f>
        <v>1739</v>
      </c>
      <c r="G15" s="2">
        <f>SUM(G6:G14)</f>
        <v>40</v>
      </c>
      <c r="H15" s="2">
        <f>SUM(H6:H14)</f>
        <v>8</v>
      </c>
      <c r="I15" s="14">
        <f>240*SUM(F6:F9)+12*SUM(G6:G9)+SUM(H6:H9)</f>
        <v>417848</v>
      </c>
      <c r="J15" s="2">
        <f>SUM(J6:J14)</f>
        <v>2406</v>
      </c>
      <c r="K15" s="2">
        <f>SUM(K6:K14)</f>
        <v>31</v>
      </c>
      <c r="L15" s="2">
        <f>SUM(L6:L14)</f>
        <v>8</v>
      </c>
      <c r="M15" s="14">
        <f>240*SUM(J6:J9)+12*SUM(K6:K9)+SUM(L6:L9)</f>
        <v>577820</v>
      </c>
      <c r="N15" s="2">
        <f>SUM(N6:N14)</f>
        <v>2313</v>
      </c>
      <c r="O15" s="2">
        <f>SUM(O6:O14)</f>
        <v>31</v>
      </c>
      <c r="P15" s="2">
        <f>SUM(P6:P14)</f>
        <v>17</v>
      </c>
      <c r="Q15" s="14">
        <f>240*SUM(N6:N9)+12*SUM(O6:O9)+SUM(P6:P9)</f>
        <v>555509</v>
      </c>
      <c r="R15" s="2">
        <f>SUM(R6:R14)</f>
        <v>3525</v>
      </c>
      <c r="S15" s="2">
        <f>SUM(S6:S14)</f>
        <v>36</v>
      </c>
      <c r="T15" s="2">
        <f>SUM(T6:T14)</f>
        <v>3</v>
      </c>
      <c r="U15" s="14">
        <f>240*SUM(R6:R8)+12*SUM(S6:S8)+SUM(T6:T8)</f>
        <v>846435</v>
      </c>
      <c r="V15" s="2">
        <f>SUM(V6:V14)</f>
        <v>3438</v>
      </c>
      <c r="W15" s="2">
        <f>SUM(W6:W14)</f>
        <v>73</v>
      </c>
      <c r="X15" s="2">
        <f>SUM(X6:X14)</f>
        <v>24</v>
      </c>
      <c r="Y15" s="14">
        <f>240*SUM(V6:V8)+12*SUM(W6:W8)+SUM(X6:X8)</f>
        <v>826020</v>
      </c>
      <c r="Z15" s="2">
        <f>SUM(Z6:Z14)</f>
        <v>3942</v>
      </c>
      <c r="AA15" s="2">
        <f>SUM(AA6:AA14)</f>
        <v>56</v>
      </c>
      <c r="AB15" s="2">
        <f>SUM(AB6:AB14)</f>
        <v>44</v>
      </c>
      <c r="AC15" s="14">
        <f>240*SUM(Z6:Z8)+12*SUM(AA6:AA8)+SUM(AB6:AB8)</f>
        <v>741387</v>
      </c>
      <c r="AD15" s="2">
        <f>SUM(AD6:AD14)</f>
        <v>3247</v>
      </c>
      <c r="AE15" s="2">
        <f>SUM(AE6:AE14)</f>
        <v>55</v>
      </c>
      <c r="AF15" s="2">
        <f>SUM(AF6:AF14)</f>
        <v>4</v>
      </c>
      <c r="AG15" s="14">
        <f>240*SUM(AD6:AD9)+12*SUM(AE6:AE9)+SUM(AF6:AF9)</f>
        <v>779488</v>
      </c>
      <c r="AH15" s="2">
        <f>SUM(AH6:AH14)</f>
        <v>3414</v>
      </c>
      <c r="AI15" s="2">
        <f>SUM(AI6:AI14)</f>
        <v>34</v>
      </c>
      <c r="AJ15" s="2">
        <f>SUM(AJ6:AJ14)</f>
        <v>28</v>
      </c>
      <c r="AK15" s="14">
        <f>240*SUM(AH6:AH9)+12*SUM(AI6:AI9)+SUM(AJ6:AJ9)</f>
        <v>818251</v>
      </c>
      <c r="AL15" s="2">
        <f>SUM(AL6:AL14)</f>
        <v>6898</v>
      </c>
      <c r="AM15" s="2">
        <f>SUM(AM6:AM14)</f>
        <v>64</v>
      </c>
      <c r="AN15" s="2">
        <f>SUM(AN6:AN14)</f>
        <v>38</v>
      </c>
      <c r="AO15" s="14">
        <f>240*SUM(AL6:AL9)+12*SUM(AM6:AM9)+SUM(AN6:AN9)</f>
        <v>1642023</v>
      </c>
      <c r="AP15" s="2">
        <f>SUM(AP6:AP14)</f>
        <v>5509</v>
      </c>
      <c r="AQ15" s="2">
        <f>SUM(AQ6:AQ14)</f>
        <v>20</v>
      </c>
      <c r="AR15" s="2">
        <f>SUM(AR6:AR14)</f>
        <v>19</v>
      </c>
      <c r="AS15" s="14">
        <f>240*SUM(AP6:AP9)+12*SUM(AQ6:AQ9)+SUM(AR6:AR9)</f>
        <v>1322419</v>
      </c>
      <c r="AT15" s="2">
        <f>SUM(AT6:AT14)</f>
        <v>5480</v>
      </c>
      <c r="AU15" s="2">
        <f>SUM(AU6:AU14)</f>
        <v>23</v>
      </c>
      <c r="AV15" s="2">
        <f>SUM(AV6:AV14)</f>
        <v>19</v>
      </c>
      <c r="AW15" s="14">
        <f>240*SUM(AT6:AT8)+12*SUM(AU6:AU8)+SUM(AV6:AV8)</f>
        <v>1315495</v>
      </c>
      <c r="AX15" s="2">
        <f>SUM(AX6:AX14)</f>
        <v>6771</v>
      </c>
      <c r="AY15" s="2">
        <f>SUM(AY6:AY14)</f>
        <v>25</v>
      </c>
      <c r="AZ15" s="2">
        <f>SUM(AZ6:AZ14)</f>
        <v>13</v>
      </c>
      <c r="BA15" s="14">
        <f>240*SUM(AX6:AX9)+12*SUM(AY6:AY9)+SUM(AZ6:AZ9)</f>
        <v>1625353</v>
      </c>
      <c r="BB15" s="2">
        <f>SUM(BB6:BB14)</f>
        <v>8173</v>
      </c>
      <c r="BC15" s="2">
        <f>SUM(BC6:BC14)</f>
        <v>19</v>
      </c>
      <c r="BD15" s="2">
        <f>SUM(BD6:BD14)</f>
        <v>28</v>
      </c>
      <c r="BE15" s="14">
        <f>240*SUM(BB6:BB9)+12*SUM(BC6:BC9)+SUM(BD6:BD9)</f>
        <v>1891889</v>
      </c>
      <c r="BF15" s="2">
        <f>SUM(BF6:BF14)</f>
        <v>9091</v>
      </c>
      <c r="BG15" s="2">
        <f>SUM(BG6:BG14)</f>
        <v>22</v>
      </c>
      <c r="BH15" s="2">
        <f>SUM(BH6:BH14)</f>
        <v>22</v>
      </c>
      <c r="BI15" s="14">
        <f>240*SUM(BF6:BF9)+12*SUM(BG6:BG9)+SUM(BH6:BH9)</f>
        <v>1616299</v>
      </c>
      <c r="BJ15" s="25">
        <f>SUM(BJ6:BJ14)</f>
        <v>15300</v>
      </c>
      <c r="BK15" s="2">
        <f>SUM(BK6:BK14)</f>
        <v>48</v>
      </c>
      <c r="BL15" s="2">
        <f>SUM(BL6:BL14)</f>
        <v>15</v>
      </c>
      <c r="BM15" s="14">
        <f>240*SUM(BJ6:BJ9)+12*SUM(BK6:BK9)+SUM(BL6:BL9)</f>
        <v>2002722</v>
      </c>
      <c r="BN15" s="25">
        <f>SUM(BN6:BN14)</f>
        <v>49655</v>
      </c>
      <c r="BO15" s="2"/>
      <c r="BP15" s="2"/>
      <c r="BQ15" s="14"/>
      <c r="BR15" s="25">
        <f>SUM(BR6:BR14)</f>
        <v>161062</v>
      </c>
      <c r="BS15" s="2"/>
      <c r="BT15" s="2"/>
      <c r="BU15" s="14"/>
      <c r="BV15" s="25">
        <f>SUM(BV6:BV14)</f>
        <v>615507</v>
      </c>
      <c r="BW15" s="25">
        <f>SUM(BW6:BW14)</f>
        <v>914646</v>
      </c>
      <c r="BX15" s="14"/>
      <c r="BY15" s="25">
        <f>SUM(BY6:BY14)</f>
        <v>2376508</v>
      </c>
      <c r="BZ15" s="42"/>
      <c r="CA15" s="25">
        <f>SUM(CA6:CA14)</f>
        <v>3889000</v>
      </c>
      <c r="CC15" s="25">
        <f>SUM(CC6:CC14)</f>
        <v>3590000</v>
      </c>
      <c r="CE15" s="25">
        <f>SUM(CE6:CE14)</f>
        <v>6386000</v>
      </c>
      <c r="CG15" s="25">
        <f>SUM(CG6:CG14)</f>
        <v>10483000</v>
      </c>
      <c r="CH15" s="42"/>
    </row>
    <row r="16" spans="1:86" x14ac:dyDescent="0.25">
      <c r="A16" s="1" t="s">
        <v>19</v>
      </c>
      <c r="B16" s="7"/>
      <c r="C16" s="7"/>
      <c r="D16" s="7"/>
      <c r="F16" s="7"/>
      <c r="G16" s="7"/>
      <c r="H16" s="7"/>
      <c r="J16" s="7"/>
      <c r="K16" s="7"/>
      <c r="L16" s="7"/>
      <c r="N16" s="7"/>
      <c r="O16" s="7"/>
      <c r="P16" s="7"/>
      <c r="R16" s="7"/>
      <c r="S16" s="7"/>
      <c r="T16" s="7"/>
      <c r="V16" s="7"/>
      <c r="W16" s="7"/>
      <c r="X16" s="7"/>
      <c r="Z16" s="7"/>
      <c r="AA16" s="7"/>
      <c r="AB16" s="7"/>
      <c r="AD16" s="7"/>
      <c r="AE16" s="7"/>
      <c r="AF16" s="7"/>
      <c r="AH16" s="7"/>
      <c r="AI16" s="7"/>
      <c r="AJ16" s="7"/>
      <c r="AL16" s="7"/>
      <c r="AM16" s="7"/>
      <c r="AN16" s="7"/>
      <c r="AP16" s="7"/>
      <c r="AQ16" s="7"/>
      <c r="AR16" s="7"/>
      <c r="AT16" s="7"/>
      <c r="AU16" s="7"/>
      <c r="AV16" s="7"/>
      <c r="AX16" s="7"/>
      <c r="AY16" s="7"/>
      <c r="AZ16" s="7"/>
      <c r="BB16" s="7"/>
      <c r="BC16" s="7"/>
      <c r="BD16" s="7"/>
      <c r="BF16" s="7"/>
      <c r="BG16" s="7"/>
      <c r="BH16" s="7"/>
      <c r="BJ16" s="14"/>
      <c r="BK16" s="7"/>
      <c r="BL16" s="7"/>
      <c r="BN16" s="14"/>
      <c r="BO16" s="7"/>
      <c r="BP16" s="7"/>
      <c r="BQ16" s="14"/>
      <c r="BR16" s="14"/>
      <c r="BS16" s="7"/>
      <c r="BT16" s="7"/>
      <c r="BU16" s="14"/>
      <c r="BV16" s="14"/>
      <c r="BW16" s="14"/>
      <c r="BX16" s="14"/>
      <c r="BY16" s="14"/>
      <c r="CA16" s="14"/>
      <c r="CC16" s="14"/>
      <c r="CE16" s="14"/>
      <c r="CG16" s="14"/>
    </row>
    <row r="17" spans="1:86" x14ac:dyDescent="0.25">
      <c r="A17" s="3" t="s">
        <v>2</v>
      </c>
      <c r="B17" s="3">
        <v>783</v>
      </c>
      <c r="C17" s="3">
        <v>17</v>
      </c>
      <c r="D17" s="3">
        <v>7</v>
      </c>
      <c r="E17" s="14">
        <f>240*B17+12*C17+D17</f>
        <v>188131</v>
      </c>
      <c r="F17" s="3">
        <f>5+10+22+(2642-2117)+125+15+5+4+16</f>
        <v>727</v>
      </c>
      <c r="G17" s="3">
        <f>11+(1-19)+7+11+19+13+18</f>
        <v>61</v>
      </c>
      <c r="H17" s="3">
        <f>6+(10.5-11)+11+1+4+4</f>
        <v>25.5</v>
      </c>
      <c r="I17" s="14">
        <f>240*F17+12*G17+H17</f>
        <v>175237.5</v>
      </c>
      <c r="J17" s="3">
        <f>10+22+705+52+28+20+7+3+9+19</f>
        <v>875</v>
      </c>
      <c r="K17" s="3">
        <f>11+8+18+6+10+13+9+3+2</f>
        <v>80</v>
      </c>
      <c r="L17" s="3">
        <f>6+3+10+9+10.5+6+4+9</f>
        <v>57.5</v>
      </c>
      <c r="M17" s="14">
        <f>240*J17+12*K17+L17</f>
        <v>211017.5</v>
      </c>
      <c r="N17" s="3">
        <f>22+10+103+56+83</f>
        <v>274</v>
      </c>
      <c r="O17" s="3">
        <f>11+10+3+11</f>
        <v>35</v>
      </c>
      <c r="P17" s="3">
        <f>6+8+4+3</f>
        <v>21</v>
      </c>
      <c r="Q17" s="14">
        <f>240*N17+12*O17+P17</f>
        <v>66201</v>
      </c>
      <c r="R17" s="3">
        <f>83+22+10+780+55+74-261-168</f>
        <v>595</v>
      </c>
      <c r="S17" s="3">
        <f>9+11+17+5+15-17-17</f>
        <v>23</v>
      </c>
      <c r="T17" s="3">
        <f>10+6+3+9+11-6-2</f>
        <v>31</v>
      </c>
      <c r="U17" s="14">
        <f>240*R17+12*S17+T17</f>
        <v>143107</v>
      </c>
      <c r="V17" s="3">
        <f>45+400+26+124</f>
        <v>595</v>
      </c>
      <c r="W17" s="3">
        <f>1+10+4+11</f>
        <v>26</v>
      </c>
      <c r="X17" s="3">
        <f>6+5+2+8</f>
        <v>21</v>
      </c>
      <c r="Y17" s="14">
        <f>240*V17+12*W17+X17</f>
        <v>143133</v>
      </c>
      <c r="Z17" s="3">
        <f>42+130+21+6+108+63+30+83+21</f>
        <v>504</v>
      </c>
      <c r="AA17" s="3">
        <f>1+17+18+2+17+4+17+8</f>
        <v>84</v>
      </c>
      <c r="AB17" s="3">
        <f>6+4+1+0+4+6+6</f>
        <v>27</v>
      </c>
      <c r="AC17" s="14">
        <f>240*Z17+12*AA17+AB17</f>
        <v>121995</v>
      </c>
      <c r="AD17" s="3">
        <v>321</v>
      </c>
      <c r="AE17" s="3">
        <v>13</v>
      </c>
      <c r="AF17" s="3">
        <v>8</v>
      </c>
      <c r="AG17" s="14">
        <f>240*AD17+12*AE17+AF17</f>
        <v>77204</v>
      </c>
      <c r="AH17" s="3">
        <f>78+538</f>
        <v>616</v>
      </c>
      <c r="AI17" s="3">
        <f>9+5</f>
        <v>14</v>
      </c>
      <c r="AJ17" s="3">
        <f>4+11</f>
        <v>15</v>
      </c>
      <c r="AK17" s="14">
        <f>240*AH17+12*AI17+AJ17</f>
        <v>148023</v>
      </c>
      <c r="AL17" s="3">
        <f>161+648+65</f>
        <v>874</v>
      </c>
      <c r="AM17" s="3">
        <f>7+12</f>
        <v>19</v>
      </c>
      <c r="AN17" s="3">
        <f>2+6</f>
        <v>8</v>
      </c>
      <c r="AO17" s="14">
        <f>240*AL17+12*AM17+AN17</f>
        <v>209996</v>
      </c>
      <c r="AP17" s="3">
        <f>3138-1937</f>
        <v>1201</v>
      </c>
      <c r="AQ17" s="3">
        <f>5-1</f>
        <v>4</v>
      </c>
      <c r="AR17" s="3">
        <f>10-9</f>
        <v>1</v>
      </c>
      <c r="AS17" s="14">
        <f>240*AP17+12*AQ17+AR17</f>
        <v>288289</v>
      </c>
      <c r="AT17" s="3">
        <f>3971-2351</f>
        <v>1620</v>
      </c>
      <c r="AU17" s="3">
        <f>8-10</f>
        <v>-2</v>
      </c>
      <c r="AV17" s="3">
        <f>8-6</f>
        <v>2</v>
      </c>
      <c r="AW17" s="14">
        <f>240*AT17+12*AU17+AV17</f>
        <v>388778</v>
      </c>
      <c r="AX17" s="3">
        <f>6927-4440</f>
        <v>2487</v>
      </c>
      <c r="AY17" s="3">
        <f>5-17</f>
        <v>-12</v>
      </c>
      <c r="AZ17" s="3">
        <f>10-11</f>
        <v>-1</v>
      </c>
      <c r="BA17" s="14">
        <f>240*AX17+12*AY17+AZ17</f>
        <v>596735</v>
      </c>
      <c r="BB17" s="3">
        <f>6875-5018</f>
        <v>1857</v>
      </c>
      <c r="BC17" s="3">
        <f>16-1</f>
        <v>15</v>
      </c>
      <c r="BD17" s="3">
        <f>9-2</f>
        <v>7</v>
      </c>
      <c r="BE17" s="14">
        <f>240*BB17+12*BC17+BD17</f>
        <v>445867</v>
      </c>
      <c r="BF17" s="3">
        <f>10657-4199-1152</f>
        <v>5306</v>
      </c>
      <c r="BG17" s="3">
        <f>15-8</f>
        <v>7</v>
      </c>
      <c r="BH17" s="3">
        <f>9-1</f>
        <v>8</v>
      </c>
      <c r="BI17" s="14">
        <f>240*BF17+12*BG17+BH17</f>
        <v>1273532</v>
      </c>
      <c r="BJ17" s="24">
        <f>20355-10762-400</f>
        <v>9193</v>
      </c>
      <c r="BK17" s="3">
        <f>11-8</f>
        <v>3</v>
      </c>
      <c r="BL17" s="3">
        <f>10-7</f>
        <v>3</v>
      </c>
      <c r="BM17" s="14">
        <f>240*BJ17+12*BK17+BL17</f>
        <v>2206359</v>
      </c>
      <c r="BN17" s="24">
        <v>23444</v>
      </c>
      <c r="BO17" s="3"/>
      <c r="BP17" s="3"/>
      <c r="BQ17" s="14"/>
      <c r="BR17" s="24">
        <v>111334</v>
      </c>
      <c r="BS17" s="3"/>
      <c r="BT17" s="3"/>
      <c r="BU17" s="14"/>
      <c r="BV17" s="24">
        <v>225672</v>
      </c>
      <c r="BW17" s="24">
        <v>243878</v>
      </c>
      <c r="BX17" s="14"/>
      <c r="BY17" s="24">
        <f>886042+71345+72809</f>
        <v>1030196</v>
      </c>
      <c r="CA17" s="24">
        <f>483000+172000</f>
        <v>655000</v>
      </c>
      <c r="CC17" s="24">
        <f>2189000+213000+1307000-CC18</f>
        <v>656000</v>
      </c>
      <c r="CE17" s="24">
        <f>3528000+30000+1226000-CE18</f>
        <v>492000</v>
      </c>
      <c r="CG17" s="24">
        <f>755000+624000</f>
        <v>1379000</v>
      </c>
    </row>
    <row r="18" spans="1:86" x14ac:dyDescent="0.25">
      <c r="A18" s="3" t="s">
        <v>66</v>
      </c>
      <c r="B18" s="3">
        <v>232</v>
      </c>
      <c r="C18" s="3"/>
      <c r="D18" s="3"/>
      <c r="E18" s="14">
        <f t="shared" ref="E18:E23" si="16">240*B18+12*C18+D18</f>
        <v>55680</v>
      </c>
      <c r="F18" s="3">
        <f>666+12+30</f>
        <v>708</v>
      </c>
      <c r="G18" s="3">
        <f>5+12</f>
        <v>17</v>
      </c>
      <c r="H18" s="3"/>
      <c r="I18" s="14">
        <f t="shared" ref="I18:I23" si="17">240*F18+12*G18+H18</f>
        <v>170124</v>
      </c>
      <c r="J18" s="3">
        <f>645+12+3+30</f>
        <v>690</v>
      </c>
      <c r="K18" s="3">
        <f>5+12+9</f>
        <v>26</v>
      </c>
      <c r="L18" s="3">
        <v>9</v>
      </c>
      <c r="M18" s="14">
        <f t="shared" ref="M18:M19" si="18">240*J18+12*K18+L18</f>
        <v>165921</v>
      </c>
      <c r="N18" s="3">
        <v>485</v>
      </c>
      <c r="O18" s="3">
        <v>5</v>
      </c>
      <c r="P18" s="3"/>
      <c r="Q18" s="14">
        <f t="shared" ref="Q18:Q23" si="19">240*N18+12*O18+P18</f>
        <v>116460</v>
      </c>
      <c r="R18" s="3">
        <v>525</v>
      </c>
      <c r="S18" s="3">
        <v>5</v>
      </c>
      <c r="T18" s="3"/>
      <c r="U18" s="14">
        <f t="shared" ref="U18:U21" si="20">240*R18+12*S18+T18</f>
        <v>126060</v>
      </c>
      <c r="V18" s="3">
        <v>675</v>
      </c>
      <c r="W18" s="3">
        <v>5</v>
      </c>
      <c r="X18" s="3"/>
      <c r="Y18" s="14">
        <f t="shared" ref="Y18:Y21" si="21">240*V18+12*W18+X18</f>
        <v>162060</v>
      </c>
      <c r="Z18" s="3">
        <v>1033</v>
      </c>
      <c r="AA18" s="3"/>
      <c r="AB18" s="3"/>
      <c r="AC18" s="14">
        <f t="shared" ref="AC18:AC21" si="22">240*Z18+12*AA18+AB18</f>
        <v>247920</v>
      </c>
      <c r="AD18" s="3">
        <v>1053</v>
      </c>
      <c r="AE18" s="3">
        <v>19</v>
      </c>
      <c r="AF18" s="3">
        <v>4</v>
      </c>
      <c r="AG18" s="14">
        <f t="shared" ref="AG18:AG21" si="23">240*AD18+12*AE18+AF18</f>
        <v>252952</v>
      </c>
      <c r="AH18" s="3">
        <v>1089</v>
      </c>
      <c r="AI18" s="3">
        <v>11</v>
      </c>
      <c r="AJ18" s="3">
        <v>9</v>
      </c>
      <c r="AK18" s="14">
        <f t="shared" ref="AK18:AK23" si="24">240*AH18+12*AI18+AJ18</f>
        <v>261501</v>
      </c>
      <c r="AL18" s="3">
        <v>1755</v>
      </c>
      <c r="AM18" s="3">
        <v>12</v>
      </c>
      <c r="AN18" s="3">
        <v>0</v>
      </c>
      <c r="AO18" s="14">
        <f t="shared" ref="AO18:AO21" si="25">240*AL18+12*AM18+AN18</f>
        <v>421344</v>
      </c>
      <c r="AP18" s="3">
        <v>1937</v>
      </c>
      <c r="AQ18" s="3">
        <v>1</v>
      </c>
      <c r="AR18" s="3">
        <v>9</v>
      </c>
      <c r="AS18" s="14">
        <f t="shared" ref="AS18:AS23" si="26">240*AP18+12*AQ18+AR18</f>
        <v>464901</v>
      </c>
      <c r="AT18" s="3">
        <v>2351</v>
      </c>
      <c r="AU18" s="3">
        <v>10</v>
      </c>
      <c r="AV18" s="3">
        <v>6</v>
      </c>
      <c r="AW18" s="14">
        <f t="shared" ref="AW18:AW21" si="27">240*AT18+12*AU18+AV18</f>
        <v>564366</v>
      </c>
      <c r="AX18" s="3">
        <v>4440</v>
      </c>
      <c r="AY18" s="3">
        <v>17</v>
      </c>
      <c r="AZ18" s="3">
        <v>11</v>
      </c>
      <c r="BA18" s="14">
        <f t="shared" ref="BA18:BA23" si="28">240*AX18+12*AY18+AZ18</f>
        <v>1065815</v>
      </c>
      <c r="BB18" s="3">
        <v>5018</v>
      </c>
      <c r="BC18" s="3">
        <v>1</v>
      </c>
      <c r="BD18" s="3">
        <v>2</v>
      </c>
      <c r="BE18" s="14">
        <f t="shared" ref="BE18:BE23" si="29">240*BB18+12*BC18+BD18</f>
        <v>1204334</v>
      </c>
      <c r="BF18" s="3">
        <f>4199+1152</f>
        <v>5351</v>
      </c>
      <c r="BG18" s="3">
        <v>8</v>
      </c>
      <c r="BH18" s="3">
        <v>1</v>
      </c>
      <c r="BI18" s="14">
        <f t="shared" ref="BI18:BI21" si="30">240*BF18+12*BG18+BH18</f>
        <v>1284337</v>
      </c>
      <c r="BJ18" s="24">
        <f>10762+400</f>
        <v>11162</v>
      </c>
      <c r="BK18" s="3">
        <v>8</v>
      </c>
      <c r="BL18" s="3">
        <v>7</v>
      </c>
      <c r="BM18" s="14">
        <f t="shared" ref="BM18:BM23" si="31">240*BJ18+12*BK18+BL18</f>
        <v>2678983</v>
      </c>
      <c r="BN18" s="24">
        <v>58854</v>
      </c>
      <c r="BO18" s="3"/>
      <c r="BP18" s="3"/>
      <c r="BQ18" s="14"/>
      <c r="BR18" s="24">
        <v>205196</v>
      </c>
      <c r="BS18" s="3"/>
      <c r="BT18" s="3"/>
      <c r="BU18" s="14"/>
      <c r="BV18" s="24">
        <v>619586</v>
      </c>
      <c r="BW18" s="24">
        <v>720564</v>
      </c>
      <c r="BX18" s="14"/>
      <c r="BY18" s="24">
        <v>1541571</v>
      </c>
      <c r="CA18" s="24">
        <f>2537000-CA40</f>
        <v>2111000</v>
      </c>
      <c r="CC18" s="24">
        <v>3053000</v>
      </c>
      <c r="CE18" s="24">
        <v>4292000</v>
      </c>
      <c r="CG18" s="24">
        <v>6834000</v>
      </c>
    </row>
    <row r="19" spans="1:86" x14ac:dyDescent="0.25">
      <c r="A19" s="3" t="s">
        <v>3</v>
      </c>
      <c r="B19" s="3"/>
      <c r="C19" s="3"/>
      <c r="D19" s="3"/>
      <c r="E19" s="14">
        <f t="shared" si="16"/>
        <v>0</v>
      </c>
      <c r="F19" s="3">
        <f>150+54+369</f>
        <v>573</v>
      </c>
      <c r="G19" s="3">
        <f>12+7</f>
        <v>19</v>
      </c>
      <c r="H19" s="3">
        <v>1</v>
      </c>
      <c r="I19" s="14">
        <f t="shared" si="17"/>
        <v>137749</v>
      </c>
      <c r="J19" s="3">
        <f>54+127</f>
        <v>181</v>
      </c>
      <c r="K19" s="3">
        <f>12+6</f>
        <v>18</v>
      </c>
      <c r="L19" s="3">
        <v>8</v>
      </c>
      <c r="M19" s="14">
        <f t="shared" si="18"/>
        <v>43664</v>
      </c>
      <c r="N19" s="3"/>
      <c r="O19" s="3"/>
      <c r="P19" s="3"/>
      <c r="Q19" s="14">
        <f t="shared" si="19"/>
        <v>0</v>
      </c>
      <c r="R19" s="3">
        <f>111+42+328+261+168</f>
        <v>910</v>
      </c>
      <c r="S19" s="3">
        <f>1+17+17</f>
        <v>35</v>
      </c>
      <c r="T19" s="3">
        <f>6+6+2</f>
        <v>14</v>
      </c>
      <c r="U19" s="14">
        <f t="shared" si="20"/>
        <v>218834</v>
      </c>
      <c r="V19" s="3">
        <v>128</v>
      </c>
      <c r="W19" s="3">
        <v>9</v>
      </c>
      <c r="X19" s="3">
        <v>7</v>
      </c>
      <c r="Y19" s="14">
        <f t="shared" si="21"/>
        <v>30835</v>
      </c>
      <c r="Z19" s="3">
        <v>260</v>
      </c>
      <c r="AA19" s="3">
        <v>19</v>
      </c>
      <c r="AB19" s="3"/>
      <c r="AC19" s="14">
        <f t="shared" si="22"/>
        <v>62628</v>
      </c>
      <c r="AD19" s="3">
        <v>275</v>
      </c>
      <c r="AE19" s="3">
        <v>11</v>
      </c>
      <c r="AF19" s="3">
        <v>2</v>
      </c>
      <c r="AG19" s="14">
        <f t="shared" si="23"/>
        <v>66134</v>
      </c>
      <c r="AH19" s="3">
        <f>107+169</f>
        <v>276</v>
      </c>
      <c r="AI19" s="3">
        <f>8+10</f>
        <v>18</v>
      </c>
      <c r="AJ19" s="3">
        <f>6+9</f>
        <v>15</v>
      </c>
      <c r="AK19" s="14">
        <f t="shared" si="24"/>
        <v>66471</v>
      </c>
      <c r="AL19" s="3">
        <v>245</v>
      </c>
      <c r="AM19" s="3">
        <v>7</v>
      </c>
      <c r="AN19" s="3">
        <v>7</v>
      </c>
      <c r="AO19" s="14">
        <f t="shared" si="25"/>
        <v>58891</v>
      </c>
      <c r="AP19" s="3">
        <v>294</v>
      </c>
      <c r="AQ19" s="3">
        <v>18</v>
      </c>
      <c r="AR19" s="3">
        <v>0</v>
      </c>
      <c r="AS19" s="14">
        <f t="shared" si="26"/>
        <v>70776</v>
      </c>
      <c r="AT19" s="3">
        <v>659</v>
      </c>
      <c r="AU19" s="3">
        <v>12</v>
      </c>
      <c r="AV19" s="3">
        <v>3</v>
      </c>
      <c r="AW19" s="14">
        <f t="shared" si="27"/>
        <v>158307</v>
      </c>
      <c r="AX19" s="3">
        <v>545</v>
      </c>
      <c r="AY19" s="3">
        <v>5</v>
      </c>
      <c r="AZ19" s="3">
        <v>1</v>
      </c>
      <c r="BA19" s="14">
        <f t="shared" si="28"/>
        <v>130861</v>
      </c>
      <c r="BB19" s="3">
        <v>459</v>
      </c>
      <c r="BC19" s="3">
        <v>14</v>
      </c>
      <c r="BD19" s="3">
        <v>1</v>
      </c>
      <c r="BE19" s="14">
        <f t="shared" si="29"/>
        <v>110329</v>
      </c>
      <c r="BF19" s="3"/>
      <c r="BG19" s="3"/>
      <c r="BH19" s="3"/>
      <c r="BI19" s="14">
        <f t="shared" si="30"/>
        <v>0</v>
      </c>
      <c r="BJ19" s="24"/>
      <c r="BK19" s="3"/>
      <c r="BL19" s="3"/>
      <c r="BM19" s="14">
        <f t="shared" si="31"/>
        <v>0</v>
      </c>
      <c r="BN19" s="24">
        <v>2518</v>
      </c>
      <c r="BO19" s="3"/>
      <c r="BP19" s="3"/>
      <c r="BQ19" s="14"/>
      <c r="BR19" s="24">
        <v>3534</v>
      </c>
      <c r="BS19" s="3"/>
      <c r="BT19" s="3"/>
      <c r="BU19" s="14"/>
      <c r="BV19" s="24">
        <v>7707</v>
      </c>
      <c r="BW19" s="24">
        <v>4733</v>
      </c>
      <c r="BX19" s="14"/>
      <c r="BY19" s="24">
        <v>8190</v>
      </c>
      <c r="CA19" s="24"/>
      <c r="CC19" s="24">
        <v>40000</v>
      </c>
      <c r="CE19" s="24"/>
      <c r="CG19" s="24"/>
    </row>
    <row r="20" spans="1:86" x14ac:dyDescent="0.25">
      <c r="A20" s="3" t="s">
        <v>124</v>
      </c>
      <c r="B20" s="3"/>
      <c r="C20" s="3"/>
      <c r="D20" s="3"/>
      <c r="E20" s="14">
        <f t="shared" si="16"/>
        <v>0</v>
      </c>
      <c r="F20" s="3"/>
      <c r="G20" s="3"/>
      <c r="H20" s="3"/>
      <c r="I20" s="14">
        <f t="shared" si="17"/>
        <v>0</v>
      </c>
      <c r="J20" s="3"/>
      <c r="K20" s="3"/>
      <c r="L20" s="3"/>
      <c r="N20" s="3"/>
      <c r="O20" s="3"/>
      <c r="P20" s="3"/>
      <c r="Q20" s="14">
        <f t="shared" si="19"/>
        <v>0</v>
      </c>
      <c r="R20" s="7"/>
      <c r="S20" s="7"/>
      <c r="T20" s="7"/>
      <c r="U20" s="7"/>
      <c r="V20" s="7"/>
      <c r="W20" s="7"/>
      <c r="X20" s="7"/>
      <c r="Y20" s="7"/>
      <c r="Z20" s="3"/>
      <c r="AA20" s="3"/>
      <c r="AB20" s="7"/>
      <c r="AD20" s="3"/>
      <c r="AE20" s="3"/>
      <c r="AF20" s="3"/>
      <c r="AG20" s="14">
        <f t="shared" si="23"/>
        <v>0</v>
      </c>
      <c r="AH20" s="3"/>
      <c r="AI20" s="3"/>
      <c r="AJ20" s="3"/>
      <c r="AK20" s="14">
        <f t="shared" si="24"/>
        <v>0</v>
      </c>
      <c r="AL20" s="3"/>
      <c r="AM20" s="3"/>
      <c r="AN20" s="3"/>
      <c r="AO20" s="14">
        <f t="shared" si="25"/>
        <v>0</v>
      </c>
      <c r="AP20" s="3"/>
      <c r="AQ20" s="3"/>
      <c r="AR20" s="3"/>
      <c r="AS20" s="14">
        <f t="shared" si="26"/>
        <v>0</v>
      </c>
      <c r="AT20" s="7"/>
      <c r="AU20" s="7"/>
      <c r="AV20" s="7"/>
      <c r="AW20" s="7"/>
      <c r="AX20" s="3"/>
      <c r="AY20" s="3"/>
      <c r="AZ20" s="3"/>
      <c r="BA20" s="14">
        <f t="shared" si="28"/>
        <v>0</v>
      </c>
      <c r="BB20" s="3"/>
      <c r="BC20" s="3"/>
      <c r="BD20" s="3"/>
      <c r="BE20" s="14">
        <f t="shared" si="29"/>
        <v>0</v>
      </c>
      <c r="BF20" s="7"/>
      <c r="BG20" s="7"/>
      <c r="BH20" s="7"/>
      <c r="BI20" s="7"/>
      <c r="BJ20" s="24"/>
      <c r="BK20" s="3"/>
      <c r="BL20" s="3"/>
      <c r="BM20" s="14">
        <f t="shared" si="31"/>
        <v>0</v>
      </c>
      <c r="BN20" s="24"/>
      <c r="BO20" s="3"/>
      <c r="BP20" s="3"/>
      <c r="BQ20" s="14"/>
      <c r="BR20" s="24"/>
      <c r="BS20" s="3"/>
      <c r="BT20" s="3"/>
      <c r="BU20" s="14"/>
      <c r="BV20" s="24"/>
      <c r="BW20" s="24"/>
      <c r="BX20" s="14"/>
      <c r="BY20" s="24">
        <f>5375+43896</f>
        <v>49271</v>
      </c>
      <c r="BZ20" s="7" t="s">
        <v>108</v>
      </c>
      <c r="CA20" s="24">
        <v>135000</v>
      </c>
      <c r="CC20" s="24"/>
      <c r="CE20" s="24"/>
      <c r="CG20" s="24"/>
    </row>
    <row r="21" spans="1:86" x14ac:dyDescent="0.25">
      <c r="A21" s="3" t="s">
        <v>106</v>
      </c>
      <c r="B21" s="3"/>
      <c r="C21" s="3"/>
      <c r="D21" s="3"/>
      <c r="E21" s="14">
        <f t="shared" si="16"/>
        <v>0</v>
      </c>
      <c r="F21" s="3"/>
      <c r="G21" s="3"/>
      <c r="H21" s="3"/>
      <c r="I21" s="14">
        <f t="shared" si="17"/>
        <v>0</v>
      </c>
      <c r="J21" s="3"/>
      <c r="K21" s="3"/>
      <c r="L21" s="3"/>
      <c r="N21" s="3"/>
      <c r="O21" s="3"/>
      <c r="P21" s="3"/>
      <c r="Q21" s="14">
        <f t="shared" si="19"/>
        <v>0</v>
      </c>
      <c r="R21" s="3"/>
      <c r="S21" s="3"/>
      <c r="T21" s="3"/>
      <c r="U21" s="14">
        <f t="shared" si="20"/>
        <v>0</v>
      </c>
      <c r="V21" s="3"/>
      <c r="W21" s="3"/>
      <c r="X21" s="3"/>
      <c r="Y21" s="14">
        <f t="shared" si="21"/>
        <v>0</v>
      </c>
      <c r="Z21" s="3">
        <v>58</v>
      </c>
      <c r="AA21" s="3">
        <v>13</v>
      </c>
      <c r="AB21" s="3">
        <v>12</v>
      </c>
      <c r="AC21" s="14">
        <f t="shared" si="22"/>
        <v>14088</v>
      </c>
      <c r="AD21" s="3"/>
      <c r="AE21" s="3"/>
      <c r="AF21" s="3"/>
      <c r="AG21" s="14">
        <f t="shared" si="23"/>
        <v>0</v>
      </c>
      <c r="AH21" s="3"/>
      <c r="AI21" s="3"/>
      <c r="AJ21" s="3"/>
      <c r="AK21" s="14">
        <f t="shared" si="24"/>
        <v>0</v>
      </c>
      <c r="AL21" s="3"/>
      <c r="AM21" s="3"/>
      <c r="AN21" s="3"/>
      <c r="AO21" s="14">
        <f t="shared" si="25"/>
        <v>0</v>
      </c>
      <c r="AP21" s="3"/>
      <c r="AQ21" s="3"/>
      <c r="AR21" s="3"/>
      <c r="AS21" s="14">
        <f t="shared" si="26"/>
        <v>0</v>
      </c>
      <c r="AT21" s="3"/>
      <c r="AU21" s="3"/>
      <c r="AV21" s="3"/>
      <c r="AW21" s="14">
        <f t="shared" si="27"/>
        <v>0</v>
      </c>
      <c r="AX21" s="3"/>
      <c r="AY21" s="3"/>
      <c r="AZ21" s="3"/>
      <c r="BA21" s="14">
        <f t="shared" si="28"/>
        <v>0</v>
      </c>
      <c r="BB21" s="3"/>
      <c r="BC21" s="3"/>
      <c r="BD21" s="3"/>
      <c r="BE21" s="14">
        <f t="shared" si="29"/>
        <v>0</v>
      </c>
      <c r="BF21" s="3"/>
      <c r="BG21" s="3"/>
      <c r="BH21" s="3"/>
      <c r="BI21" s="14">
        <f t="shared" si="30"/>
        <v>0</v>
      </c>
      <c r="BJ21" s="24"/>
      <c r="BK21" s="3"/>
      <c r="BL21" s="3"/>
      <c r="BM21" s="14">
        <f t="shared" si="31"/>
        <v>0</v>
      </c>
      <c r="BN21" s="24"/>
      <c r="BO21" s="3"/>
      <c r="BP21" s="3"/>
      <c r="BQ21" s="14"/>
      <c r="BR21" s="24">
        <v>9806</v>
      </c>
      <c r="BS21" s="3"/>
      <c r="BT21" s="3"/>
      <c r="BU21" s="14"/>
      <c r="BV21" s="24">
        <v>41453</v>
      </c>
      <c r="BW21" s="24">
        <v>41612</v>
      </c>
      <c r="BX21" s="14"/>
      <c r="BY21" s="24"/>
      <c r="CA21" s="24">
        <v>700000</v>
      </c>
      <c r="CC21" s="24">
        <f>2351000-1532000</f>
        <v>819000</v>
      </c>
      <c r="CE21" s="24">
        <v>1432000</v>
      </c>
      <c r="CG21" s="24">
        <f>146000+2266000+986000</f>
        <v>3398000</v>
      </c>
      <c r="CH21" s="42"/>
    </row>
    <row r="22" spans="1:86" x14ac:dyDescent="0.25">
      <c r="A22" s="3" t="s">
        <v>105</v>
      </c>
      <c r="B22" s="3"/>
      <c r="C22" s="3"/>
      <c r="D22" s="3"/>
      <c r="F22" s="3"/>
      <c r="G22" s="3"/>
      <c r="H22" s="3"/>
      <c r="J22" s="3"/>
      <c r="K22" s="3"/>
      <c r="L22" s="3"/>
      <c r="N22" s="3"/>
      <c r="O22" s="3"/>
      <c r="P22" s="3"/>
      <c r="R22" s="3"/>
      <c r="S22" s="3"/>
      <c r="T22" s="3"/>
      <c r="V22" s="3"/>
      <c r="W22" s="3"/>
      <c r="X22" s="3"/>
      <c r="Z22" s="3"/>
      <c r="AA22" s="3"/>
      <c r="AB22" s="3"/>
      <c r="AD22" s="3"/>
      <c r="AE22" s="3"/>
      <c r="AF22" s="3"/>
      <c r="AH22" s="3"/>
      <c r="AI22" s="3"/>
      <c r="AJ22" s="3"/>
      <c r="AL22" s="3"/>
      <c r="AM22" s="3"/>
      <c r="AN22" s="3"/>
      <c r="AP22" s="3"/>
      <c r="AQ22" s="3"/>
      <c r="AR22" s="3"/>
      <c r="AT22" s="3"/>
      <c r="AU22" s="3"/>
      <c r="AV22" s="3"/>
      <c r="AX22" s="3"/>
      <c r="AY22" s="3"/>
      <c r="AZ22" s="3"/>
      <c r="BB22" s="3"/>
      <c r="BC22" s="3"/>
      <c r="BD22" s="3"/>
      <c r="BF22" s="3">
        <v>260</v>
      </c>
      <c r="BG22" s="3">
        <v>17</v>
      </c>
      <c r="BH22" s="3">
        <v>3</v>
      </c>
      <c r="BI22" s="14">
        <f>240*BF22+12*BG22+BH22</f>
        <v>62607</v>
      </c>
      <c r="BJ22" s="24">
        <v>205</v>
      </c>
      <c r="BK22" s="3">
        <v>17</v>
      </c>
      <c r="BL22" s="3">
        <v>8</v>
      </c>
      <c r="BM22" s="14">
        <f>240*BJ22+12*BK22+BL22</f>
        <v>49412</v>
      </c>
      <c r="BN22" s="24"/>
      <c r="BO22" s="3"/>
      <c r="BP22" s="3"/>
      <c r="BQ22" s="14"/>
      <c r="BR22" s="24"/>
      <c r="BS22" s="3"/>
      <c r="BT22" s="3"/>
      <c r="BU22" s="14"/>
      <c r="BV22" s="24"/>
      <c r="BW22" s="24"/>
      <c r="BX22" s="14"/>
      <c r="BY22" s="24">
        <f>4000+1050</f>
        <v>5050</v>
      </c>
      <c r="CA22" s="24">
        <f>(1796000-CA39)+(1535000-CA45)-CA17-CA20</f>
        <v>1662000</v>
      </c>
      <c r="CC22" s="24">
        <f>1000+27000+56000+24000+14000+146000+1000</f>
        <v>269000</v>
      </c>
      <c r="CE22" s="24">
        <f>4228000+534000-CE47-CE21</f>
        <v>1507000</v>
      </c>
      <c r="CF22" s="7" t="s">
        <v>119</v>
      </c>
      <c r="CG22" s="24">
        <f>14132000-CG47-CG21-CG18</f>
        <v>916000</v>
      </c>
      <c r="CH22" s="7" t="s">
        <v>137</v>
      </c>
    </row>
    <row r="23" spans="1:86" x14ac:dyDescent="0.25">
      <c r="A23" s="3" t="s">
        <v>41</v>
      </c>
      <c r="B23" s="3">
        <f>8+223</f>
        <v>231</v>
      </c>
      <c r="C23" s="3">
        <f>1+3</f>
        <v>4</v>
      </c>
      <c r="D23" s="3">
        <v>5.5</v>
      </c>
      <c r="E23" s="14">
        <f t="shared" si="16"/>
        <v>55493.5</v>
      </c>
      <c r="F23" s="3"/>
      <c r="G23" s="3"/>
      <c r="H23" s="3"/>
      <c r="I23" s="14">
        <f t="shared" si="17"/>
        <v>0</v>
      </c>
      <c r="J23" s="3"/>
      <c r="K23" s="3"/>
      <c r="L23" s="3"/>
      <c r="N23" s="3">
        <v>94</v>
      </c>
      <c r="O23" s="3">
        <v>5</v>
      </c>
      <c r="P23" s="3">
        <v>0</v>
      </c>
      <c r="Q23" s="14">
        <f t="shared" si="19"/>
        <v>22620</v>
      </c>
      <c r="R23" s="3">
        <v>1288</v>
      </c>
      <c r="S23" s="3">
        <v>13</v>
      </c>
      <c r="T23" s="3">
        <v>2</v>
      </c>
      <c r="U23" s="14">
        <f>240*R23+12*S23+T23</f>
        <v>309278</v>
      </c>
      <c r="V23" s="3">
        <f>8+141+250</f>
        <v>399</v>
      </c>
      <c r="W23" s="3">
        <f>1+12</f>
        <v>13</v>
      </c>
      <c r="X23" s="3"/>
      <c r="Y23" s="14">
        <f>240*V23+12*W23+X23</f>
        <v>95916</v>
      </c>
      <c r="Z23" s="3">
        <f>185+2+3+2+232+35+4+140+69</f>
        <v>672</v>
      </c>
      <c r="AA23" s="3">
        <f>17+16+18+18+2+5+17+16+6</f>
        <v>115</v>
      </c>
      <c r="AB23" s="3">
        <f>3+4+9+6+7+7+6</f>
        <v>42</v>
      </c>
      <c r="AC23" s="14">
        <f t="shared" ref="AC23" si="32">240*Z23+12*AA23+AB23</f>
        <v>162702</v>
      </c>
      <c r="AD23" s="3">
        <v>415</v>
      </c>
      <c r="AE23" s="3">
        <v>13</v>
      </c>
      <c r="AF23" s="3">
        <v>6</v>
      </c>
      <c r="AG23" s="14">
        <f>240*AD23+12*AE23+AF23</f>
        <v>99762</v>
      </c>
      <c r="AH23" s="3"/>
      <c r="AI23" s="3"/>
      <c r="AJ23" s="3"/>
      <c r="AK23" s="14">
        <f t="shared" si="24"/>
        <v>0</v>
      </c>
      <c r="AL23" s="3">
        <f>156+19+2+37+600</f>
        <v>814</v>
      </c>
      <c r="AM23" s="3">
        <f>11+9+10+10+6</f>
        <v>46</v>
      </c>
      <c r="AN23" s="3">
        <v>0</v>
      </c>
      <c r="AO23" s="14">
        <f>240*AL23+12*AM23+AN23</f>
        <v>195912</v>
      </c>
      <c r="AP23" s="3">
        <v>1051</v>
      </c>
      <c r="AQ23" s="3">
        <v>0</v>
      </c>
      <c r="AR23" s="3">
        <v>5</v>
      </c>
      <c r="AS23" s="14">
        <f t="shared" si="26"/>
        <v>252245</v>
      </c>
      <c r="AT23" s="3">
        <v>50</v>
      </c>
      <c r="AU23" s="3"/>
      <c r="AV23" s="3"/>
      <c r="AW23" s="14">
        <f>240*AT23+12*AU23+AV23</f>
        <v>12000</v>
      </c>
      <c r="AX23" s="3"/>
      <c r="AY23" s="3"/>
      <c r="AZ23" s="3"/>
      <c r="BA23" s="14">
        <f t="shared" si="28"/>
        <v>0</v>
      </c>
      <c r="BB23" s="3">
        <v>120</v>
      </c>
      <c r="BC23" s="3">
        <v>2</v>
      </c>
      <c r="BD23" s="3">
        <v>11</v>
      </c>
      <c r="BE23" s="14">
        <f t="shared" si="29"/>
        <v>28835</v>
      </c>
      <c r="BF23" s="3">
        <v>1136</v>
      </c>
      <c r="BG23" s="3">
        <v>13</v>
      </c>
      <c r="BH23" s="3">
        <v>1</v>
      </c>
      <c r="BI23" s="14">
        <f>240*BF23+12*BG23+BH23</f>
        <v>272797</v>
      </c>
      <c r="BJ23" s="24"/>
      <c r="BK23" s="3"/>
      <c r="BL23" s="3"/>
      <c r="BM23" s="14">
        <f t="shared" si="31"/>
        <v>0</v>
      </c>
      <c r="BN23" s="24"/>
      <c r="BO23" s="3"/>
      <c r="BP23" s="3"/>
      <c r="BQ23" s="14"/>
      <c r="BR23" s="24"/>
      <c r="BS23" s="3"/>
      <c r="BT23" s="3"/>
      <c r="BU23" s="14"/>
      <c r="BV23" s="24"/>
      <c r="BW23" s="24"/>
      <c r="BX23" s="14"/>
      <c r="BY23" s="24">
        <f>18726+4562</f>
        <v>23288</v>
      </c>
      <c r="CA23" s="24"/>
      <c r="CC23" s="24"/>
      <c r="CE23" s="24"/>
      <c r="CG23" s="24"/>
    </row>
    <row r="24" spans="1:86" x14ac:dyDescent="0.25">
      <c r="A24" s="2" t="s">
        <v>33</v>
      </c>
      <c r="B24" s="2">
        <f>SUM(B17:B23)</f>
        <v>1246</v>
      </c>
      <c r="C24" s="2">
        <f>SUM(C17:C23)</f>
        <v>21</v>
      </c>
      <c r="D24" s="2">
        <f>SUM(D17:D23)</f>
        <v>12.5</v>
      </c>
      <c r="E24" s="14">
        <f>240*SUM(B17:B20)+12*SUM(C17:C20)+SUM(D17:D20)</f>
        <v>243811</v>
      </c>
      <c r="F24" s="2">
        <f>SUM(F17:F23)</f>
        <v>2008</v>
      </c>
      <c r="G24" s="2">
        <f>SUM(G17:G23)</f>
        <v>97</v>
      </c>
      <c r="H24" s="2">
        <f>SUM(H17:H23)</f>
        <v>26.5</v>
      </c>
      <c r="I24" s="14">
        <f>240*SUM(F17:F20)+12*SUM(G17:G20)+SUM(H17:H20)</f>
        <v>483110.5</v>
      </c>
      <c r="J24" s="2">
        <f>SUM(J17:J23)</f>
        <v>1746</v>
      </c>
      <c r="K24" s="2">
        <f>SUM(K17:K23)</f>
        <v>124</v>
      </c>
      <c r="L24" s="2">
        <f>SUM(L17:L23)</f>
        <v>74.5</v>
      </c>
      <c r="M24" s="14">
        <f>240*SUM(J17:J20)+12*SUM(K17:K20)+SUM(L17:L20)</f>
        <v>420602.5</v>
      </c>
      <c r="N24" s="2">
        <f>SUM(N17:N23)</f>
        <v>853</v>
      </c>
      <c r="O24" s="2">
        <f>SUM(O17:O23)</f>
        <v>45</v>
      </c>
      <c r="P24" s="2">
        <f>SUM(P17:P23)</f>
        <v>21</v>
      </c>
      <c r="Q24" s="14">
        <f>240*SUM(N17:N20)+12*SUM(O17:O20)+SUM(P17:P20)</f>
        <v>182661</v>
      </c>
      <c r="R24" s="2">
        <f>SUM(R17:R23)</f>
        <v>3318</v>
      </c>
      <c r="S24" s="2">
        <f>SUM(S17:S23)</f>
        <v>76</v>
      </c>
      <c r="T24" s="2">
        <f>SUM(T17:T23)</f>
        <v>47</v>
      </c>
      <c r="U24" s="14">
        <f>240*SUM(R17:R20)+12*SUM(S17:S20)+SUM(T17:T20)</f>
        <v>488001</v>
      </c>
      <c r="V24" s="2">
        <f>SUM(V17:V23)</f>
        <v>1797</v>
      </c>
      <c r="W24" s="2">
        <f>SUM(W17:W23)</f>
        <v>53</v>
      </c>
      <c r="X24" s="2">
        <f>SUM(X17:X23)</f>
        <v>28</v>
      </c>
      <c r="Y24" s="14">
        <f>240*SUM(V17:V20)+12*SUM(W17:W20)+SUM(X17:X20)</f>
        <v>336028</v>
      </c>
      <c r="Z24" s="2">
        <f>SUM(Z17:Z23)</f>
        <v>2527</v>
      </c>
      <c r="AA24" s="2">
        <f>SUM(AA17:AA23)</f>
        <v>231</v>
      </c>
      <c r="AB24" s="2">
        <f>SUM(AB17:AB23)</f>
        <v>81</v>
      </c>
      <c r="AC24" s="14">
        <f>240*SUM(Z17:Z20)+12*SUM(AA17:AA20)+SUM(AB17:AB20)</f>
        <v>432543</v>
      </c>
      <c r="AD24" s="2">
        <f>SUM(AD17:AD23)</f>
        <v>2064</v>
      </c>
      <c r="AE24" s="2">
        <f>SUM(AE17:AE23)</f>
        <v>56</v>
      </c>
      <c r="AF24" s="2">
        <f>SUM(AF17:AF23)</f>
        <v>20</v>
      </c>
      <c r="AG24" s="14">
        <f>240*SUM(AD17:AD20)+12*SUM(AE17:AE20)+SUM(AF17:AF20)</f>
        <v>396290</v>
      </c>
      <c r="AH24" s="2">
        <f>SUM(AH17:AH23)</f>
        <v>1981</v>
      </c>
      <c r="AI24" s="2">
        <f>SUM(AI17:AI23)</f>
        <v>43</v>
      </c>
      <c r="AJ24" s="2">
        <f>SUM(AJ17:AJ23)</f>
        <v>39</v>
      </c>
      <c r="AK24" s="14">
        <f>240*SUM(AH17:AH20)+12*SUM(AI17:AI20)+SUM(AJ17:AJ20)</f>
        <v>475995</v>
      </c>
      <c r="AL24" s="2">
        <f>SUM(AL17:AL23)</f>
        <v>3688</v>
      </c>
      <c r="AM24" s="2">
        <f>SUM(AM17:AM23)</f>
        <v>84</v>
      </c>
      <c r="AN24" s="2">
        <f>SUM(AN17:AN23)</f>
        <v>15</v>
      </c>
      <c r="AO24" s="14">
        <f>240*SUM(AL17:AL20)+12*SUM(AM17:AM20)+SUM(AN17:AN20)</f>
        <v>690231</v>
      </c>
      <c r="AP24" s="2">
        <f>SUM(AP17:AP23)</f>
        <v>4483</v>
      </c>
      <c r="AQ24" s="2">
        <f>SUM(AQ17:AQ23)</f>
        <v>23</v>
      </c>
      <c r="AR24" s="2">
        <f>SUM(AR17:AR23)</f>
        <v>15</v>
      </c>
      <c r="AS24" s="14">
        <f>240*SUM(AP17:AP20)+12*SUM(AQ17:AQ20)+SUM(AR17:AR20)</f>
        <v>823966</v>
      </c>
      <c r="AT24" s="2">
        <f>SUM(AT17:AT23)</f>
        <v>4680</v>
      </c>
      <c r="AU24" s="2">
        <f>SUM(AU17:AU23)</f>
        <v>20</v>
      </c>
      <c r="AV24" s="2">
        <f>SUM(AV17:AV23)</f>
        <v>11</v>
      </c>
      <c r="AW24" s="14">
        <f>240*SUM(AT17:AT20)+12*SUM(AU17:AU20)+SUM(AV17:AV20)</f>
        <v>1111451</v>
      </c>
      <c r="AX24" s="2">
        <f>SUM(AX17:AX23)</f>
        <v>7472</v>
      </c>
      <c r="AY24" s="2">
        <f>SUM(AY17:AY23)</f>
        <v>10</v>
      </c>
      <c r="AZ24" s="2">
        <f>SUM(AZ17:AZ23)</f>
        <v>11</v>
      </c>
      <c r="BA24" s="14">
        <f>240*SUM(AX17:AX20)+12*SUM(AY17:AY20)+SUM(AZ17:AZ20)</f>
        <v>1793411</v>
      </c>
      <c r="BB24" s="2">
        <f>SUM(BB17:BB23)</f>
        <v>7454</v>
      </c>
      <c r="BC24" s="2">
        <f>SUM(BC17:BC23)</f>
        <v>32</v>
      </c>
      <c r="BD24" s="2">
        <f>SUM(BD17:BD23)</f>
        <v>21</v>
      </c>
      <c r="BE24" s="14">
        <f>240*SUM(BB17:BB20)+12*SUM(BC17:BC20)+SUM(BD17:BD20)</f>
        <v>1760530</v>
      </c>
      <c r="BF24" s="2">
        <f>SUM(BF17:BF23)</f>
        <v>12053</v>
      </c>
      <c r="BG24" s="2">
        <f>SUM(BG17:BG23)</f>
        <v>45</v>
      </c>
      <c r="BH24" s="2">
        <f>SUM(BH17:BH23)</f>
        <v>13</v>
      </c>
      <c r="BI24" s="14">
        <f>240*SUM(BF17:BF22)+12*SUM(BG17:BG22)+SUM(BH17:BH22)</f>
        <v>2620476</v>
      </c>
      <c r="BJ24" s="25">
        <f>SUM(BJ17:BJ23)</f>
        <v>20560</v>
      </c>
      <c r="BK24" s="2">
        <f>SUM(BK17:BK23)</f>
        <v>28</v>
      </c>
      <c r="BL24" s="2">
        <f>SUM(BL17:BL23)</f>
        <v>18</v>
      </c>
      <c r="BM24" s="14">
        <f>240*SUM(BJ17:BJ22)+12*SUM(BK17:BK22)+SUM(BL17:BL22)</f>
        <v>4934754</v>
      </c>
      <c r="BN24" s="25">
        <f>SUM(BN17:BN23)</f>
        <v>84816</v>
      </c>
      <c r="BO24" s="2"/>
      <c r="BP24" s="2"/>
      <c r="BQ24" s="14"/>
      <c r="BR24" s="25">
        <f>SUM(BR17:BR23)</f>
        <v>329870</v>
      </c>
      <c r="BS24" s="2"/>
      <c r="BT24" s="2"/>
      <c r="BU24" s="14"/>
      <c r="BV24" s="25">
        <f>SUM(BV17:BV23)</f>
        <v>894418</v>
      </c>
      <c r="BW24" s="25">
        <f>SUM(BW17:BW23)</f>
        <v>1010787</v>
      </c>
      <c r="BX24" s="14"/>
      <c r="BY24" s="25">
        <f>SUM(BY17:BY23)</f>
        <v>2657566</v>
      </c>
      <c r="CA24" s="25">
        <f>SUM(CA17:CA23)</f>
        <v>5263000</v>
      </c>
      <c r="CC24" s="25">
        <f>SUM(CC17:CC23)</f>
        <v>4837000</v>
      </c>
      <c r="CE24" s="25">
        <f>SUM(CE17:CE23)</f>
        <v>7723000</v>
      </c>
      <c r="CG24" s="25">
        <f>SUM(CG17:CG23)</f>
        <v>12527000</v>
      </c>
    </row>
    <row r="25" spans="1:86" x14ac:dyDescent="0.25">
      <c r="A25" s="12" t="s">
        <v>34</v>
      </c>
      <c r="B25" s="10">
        <f>B15-B24</f>
        <v>55</v>
      </c>
      <c r="C25" s="10">
        <f>C15-C24</f>
        <v>-8</v>
      </c>
      <c r="D25" s="10">
        <f>D15-D24</f>
        <v>-7.5</v>
      </c>
      <c r="E25" s="14">
        <f>240*B25+12*C25+D25</f>
        <v>13096.5</v>
      </c>
      <c r="F25" s="10">
        <f>F15-F24</f>
        <v>-269</v>
      </c>
      <c r="G25" s="10">
        <f>G15-G24</f>
        <v>-57</v>
      </c>
      <c r="H25" s="10">
        <f>H15-H24</f>
        <v>-18.5</v>
      </c>
      <c r="I25" s="14">
        <f>240*F25+12*G25+H25</f>
        <v>-65262.5</v>
      </c>
      <c r="J25" s="10">
        <f>J15-J24</f>
        <v>660</v>
      </c>
      <c r="K25" s="10">
        <f>K15-K24</f>
        <v>-93</v>
      </c>
      <c r="L25" s="10">
        <f>L15-L24</f>
        <v>-66.5</v>
      </c>
      <c r="M25" s="14">
        <f>240*J25+12*K25+L25</f>
        <v>157217.5</v>
      </c>
      <c r="N25" s="10">
        <f>N15-N24</f>
        <v>1460</v>
      </c>
      <c r="O25" s="10">
        <f>O15-O24</f>
        <v>-14</v>
      </c>
      <c r="P25" s="10">
        <f>P15-P24</f>
        <v>-4</v>
      </c>
      <c r="Q25" s="14">
        <f>240*N25+12*O25+P25</f>
        <v>350228</v>
      </c>
      <c r="R25" s="10">
        <f>R15-R24</f>
        <v>207</v>
      </c>
      <c r="S25" s="10">
        <f>S15-S24</f>
        <v>-40</v>
      </c>
      <c r="T25" s="10">
        <f>T15-T24</f>
        <v>-44</v>
      </c>
      <c r="U25" s="14">
        <f>240*R25+12*S25+T25</f>
        <v>49156</v>
      </c>
      <c r="V25" s="10">
        <f>V15-V24</f>
        <v>1641</v>
      </c>
      <c r="W25" s="10">
        <f>W15-W24</f>
        <v>20</v>
      </c>
      <c r="X25" s="10">
        <f>X15-X24</f>
        <v>-4</v>
      </c>
      <c r="Y25" s="14">
        <f>240*V25+12*W25+X25</f>
        <v>394076</v>
      </c>
      <c r="Z25" s="10">
        <f>Z15-Z24</f>
        <v>1415</v>
      </c>
      <c r="AA25" s="10">
        <f>AA15-AA24</f>
        <v>-175</v>
      </c>
      <c r="AB25" s="10">
        <f>AB15-AB24</f>
        <v>-37</v>
      </c>
      <c r="AC25" s="14">
        <f>240*Z25+12*AA25+AB25</f>
        <v>337463</v>
      </c>
      <c r="AD25" s="10">
        <f>AD15-AD24</f>
        <v>1183</v>
      </c>
      <c r="AE25" s="10">
        <f>AE15-AE24</f>
        <v>-1</v>
      </c>
      <c r="AF25" s="10">
        <f>AF15-AF24</f>
        <v>-16</v>
      </c>
      <c r="AG25" s="14">
        <f>240*AD25+12*AE25+AF25</f>
        <v>283892</v>
      </c>
      <c r="AH25" s="10">
        <f>AH15-AH24</f>
        <v>1433</v>
      </c>
      <c r="AI25" s="10">
        <f>AI15-AI24</f>
        <v>-9</v>
      </c>
      <c r="AJ25" s="10">
        <f>AJ15-AJ24</f>
        <v>-11</v>
      </c>
      <c r="AK25" s="14">
        <f>240*AH25+12*AI25+AJ25</f>
        <v>343801</v>
      </c>
      <c r="AL25" s="10">
        <f>AL15-AL24</f>
        <v>3210</v>
      </c>
      <c r="AM25" s="10">
        <f>AM15-AM24</f>
        <v>-20</v>
      </c>
      <c r="AN25" s="10">
        <f>AN15-AN24</f>
        <v>23</v>
      </c>
      <c r="AO25" s="14">
        <f>240*AL25+12*AM25+AN25</f>
        <v>770183</v>
      </c>
      <c r="AP25" s="10">
        <f>AP15-AP24</f>
        <v>1026</v>
      </c>
      <c r="AQ25" s="10">
        <f>AQ15-AQ24</f>
        <v>-3</v>
      </c>
      <c r="AR25" s="10">
        <f>AR15-AR24</f>
        <v>4</v>
      </c>
      <c r="AS25" s="14">
        <f>240*AP25+12*AQ25+AR25</f>
        <v>246208</v>
      </c>
      <c r="AT25" s="10">
        <f>AT15-AT24</f>
        <v>800</v>
      </c>
      <c r="AU25" s="10">
        <f>AU15-AU24</f>
        <v>3</v>
      </c>
      <c r="AV25" s="10">
        <f>AV15-AV24</f>
        <v>8</v>
      </c>
      <c r="AW25" s="14">
        <f>240*AT25+12*AU25+AV25</f>
        <v>192044</v>
      </c>
      <c r="AX25" s="10">
        <f>AX15-AX24</f>
        <v>-701</v>
      </c>
      <c r="AY25" s="10">
        <f>AY15-AY24</f>
        <v>15</v>
      </c>
      <c r="AZ25" s="10">
        <f>AZ15-AZ24</f>
        <v>2</v>
      </c>
      <c r="BA25" s="14">
        <f>240*AX25+12*AY25+AZ25</f>
        <v>-168058</v>
      </c>
      <c r="BB25" s="10">
        <f>BB15-BB24</f>
        <v>719</v>
      </c>
      <c r="BC25" s="10">
        <f>BC15-BC24</f>
        <v>-13</v>
      </c>
      <c r="BD25" s="10">
        <f>BD15-BD24</f>
        <v>7</v>
      </c>
      <c r="BE25" s="14">
        <f>240*BB25+12*BC25+BD25</f>
        <v>172411</v>
      </c>
      <c r="BF25" s="10">
        <f>BF15-BF24</f>
        <v>-2962</v>
      </c>
      <c r="BG25" s="10">
        <f>BG15-BG24</f>
        <v>-23</v>
      </c>
      <c r="BH25" s="10">
        <f>BH15-BH24</f>
        <v>9</v>
      </c>
      <c r="BI25" s="14">
        <f>240*BF25+12*BG25+BH25</f>
        <v>-711147</v>
      </c>
      <c r="BJ25" s="22">
        <f>BJ15-BJ24</f>
        <v>-5260</v>
      </c>
      <c r="BK25" s="10">
        <f>BK15-BK24</f>
        <v>20</v>
      </c>
      <c r="BL25" s="10">
        <f>BL15-BL24</f>
        <v>-3</v>
      </c>
      <c r="BM25" s="14">
        <f>240*BJ25+12*BK25+BL25</f>
        <v>-1262163</v>
      </c>
      <c r="BN25" s="22">
        <f>BN15-BN24</f>
        <v>-35161</v>
      </c>
      <c r="BO25" s="10"/>
      <c r="BP25" s="10"/>
      <c r="BQ25" s="14"/>
      <c r="BR25" s="22">
        <f>BR15-BR24</f>
        <v>-168808</v>
      </c>
      <c r="BS25" s="10"/>
      <c r="BT25" s="10"/>
      <c r="BU25" s="14"/>
      <c r="BV25" s="22">
        <f>BV15-BV24</f>
        <v>-278911</v>
      </c>
      <c r="BW25" s="22">
        <f>BW15-BW24</f>
        <v>-96141</v>
      </c>
      <c r="BX25" s="14"/>
      <c r="BY25" s="22">
        <f>BY15-BY24</f>
        <v>-281058</v>
      </c>
      <c r="CA25" s="22">
        <f>CA15-CA24</f>
        <v>-1374000</v>
      </c>
      <c r="CC25" s="22">
        <f>CC15-CC24</f>
        <v>-1247000</v>
      </c>
      <c r="CE25" s="22">
        <f>CE15-CE24</f>
        <v>-1337000</v>
      </c>
      <c r="CG25" s="22">
        <f>CG15-CG24</f>
        <v>-2044000</v>
      </c>
    </row>
    <row r="26" spans="1:86" x14ac:dyDescent="0.25">
      <c r="A26" s="19" t="s">
        <v>22</v>
      </c>
      <c r="B26" s="19"/>
      <c r="C26" s="19"/>
      <c r="D26" s="19"/>
      <c r="F26" s="19"/>
      <c r="G26" s="19"/>
      <c r="H26" s="19"/>
      <c r="J26" s="19"/>
      <c r="K26" s="19"/>
      <c r="L26" s="19"/>
      <c r="N26" s="19"/>
      <c r="O26" s="19"/>
      <c r="P26" s="19"/>
      <c r="R26" s="19"/>
      <c r="S26" s="19"/>
      <c r="T26" s="19"/>
      <c r="V26" s="19"/>
      <c r="W26" s="19"/>
      <c r="X26" s="19"/>
      <c r="Z26" s="19"/>
      <c r="AA26" s="19"/>
      <c r="AB26" s="19"/>
      <c r="AD26" s="19"/>
      <c r="AE26" s="19"/>
      <c r="AF26" s="19"/>
      <c r="AH26" s="19"/>
      <c r="AI26" s="19"/>
      <c r="AJ26" s="19"/>
      <c r="AL26" s="19"/>
      <c r="AM26" s="19"/>
      <c r="AN26" s="19"/>
      <c r="AP26" s="19"/>
      <c r="AQ26" s="19"/>
      <c r="AR26" s="19"/>
      <c r="AT26" s="19"/>
      <c r="AU26" s="19"/>
      <c r="AV26" s="19"/>
      <c r="AX26" s="19"/>
      <c r="AY26" s="19"/>
      <c r="AZ26" s="19"/>
      <c r="BB26" s="19"/>
      <c r="BC26" s="19"/>
      <c r="BD26" s="19"/>
      <c r="BF26" s="19">
        <f>-(106+580+1136+1)</f>
        <v>-1823</v>
      </c>
      <c r="BG26" s="19">
        <v>-7</v>
      </c>
      <c r="BH26" s="19">
        <v>-1</v>
      </c>
      <c r="BJ26" s="26">
        <f>-(363+298+681+630+2)</f>
        <v>-1974</v>
      </c>
      <c r="BK26" s="19">
        <v>-6</v>
      </c>
      <c r="BL26" s="19">
        <v>-7</v>
      </c>
      <c r="BN26" s="26">
        <v>-38602</v>
      </c>
      <c r="BO26" s="19"/>
      <c r="BP26" s="19"/>
      <c r="BQ26" s="14"/>
      <c r="BR26" s="26">
        <v>-16739</v>
      </c>
      <c r="BS26" s="19"/>
      <c r="BT26" s="19"/>
      <c r="BU26" s="14"/>
      <c r="BV26" s="26">
        <f>-140983+14500</f>
        <v>-126483</v>
      </c>
      <c r="BW26" s="26">
        <f>-127271+14500</f>
        <v>-112771</v>
      </c>
      <c r="BX26" s="14"/>
      <c r="BY26" s="26">
        <v>-118992</v>
      </c>
      <c r="CA26" s="26"/>
      <c r="CC26" s="26">
        <v>-908000</v>
      </c>
      <c r="CE26" s="26">
        <f>-(1060000-368000)</f>
        <v>-692000</v>
      </c>
      <c r="CG26" s="26">
        <v>-2020000</v>
      </c>
    </row>
    <row r="27" spans="1:86" x14ac:dyDescent="0.25">
      <c r="A27" s="21" t="s">
        <v>40</v>
      </c>
      <c r="B27" s="20">
        <f>B25-B26</f>
        <v>55</v>
      </c>
      <c r="C27" s="20">
        <f t="shared" ref="C27:D27" si="33">C25-C26</f>
        <v>-8</v>
      </c>
      <c r="D27" s="20">
        <f t="shared" si="33"/>
        <v>-7.5</v>
      </c>
      <c r="E27" s="14">
        <f>240*B27+12*C27+D27</f>
        <v>13096.5</v>
      </c>
      <c r="F27" s="20">
        <f>F25-F26</f>
        <v>-269</v>
      </c>
      <c r="G27" s="20">
        <f t="shared" ref="G27:H27" si="34">G25-G26</f>
        <v>-57</v>
      </c>
      <c r="H27" s="20">
        <f t="shared" si="34"/>
        <v>-18.5</v>
      </c>
      <c r="J27" s="20">
        <f>J25-J26</f>
        <v>660</v>
      </c>
      <c r="K27" s="20">
        <f t="shared" ref="K27:L27" si="35">K25-K26</f>
        <v>-93</v>
      </c>
      <c r="L27" s="20">
        <f t="shared" si="35"/>
        <v>-66.5</v>
      </c>
      <c r="N27" s="20">
        <f>N25-N26</f>
        <v>1460</v>
      </c>
      <c r="O27" s="20">
        <f t="shared" ref="O27:P27" si="36">O25-O26</f>
        <v>-14</v>
      </c>
      <c r="P27" s="20">
        <f t="shared" si="36"/>
        <v>-4</v>
      </c>
      <c r="Q27" s="14">
        <f>240*N27+12*O27+P27</f>
        <v>350228</v>
      </c>
      <c r="R27" s="20">
        <f>R25-R26</f>
        <v>207</v>
      </c>
      <c r="S27" s="20">
        <f t="shared" ref="S27:T27" si="37">S25-S26</f>
        <v>-40</v>
      </c>
      <c r="T27" s="20">
        <f t="shared" si="37"/>
        <v>-44</v>
      </c>
      <c r="U27" s="14">
        <f>240*R27+12*S27+T27</f>
        <v>49156</v>
      </c>
      <c r="V27" s="20">
        <f>V25-V26</f>
        <v>1641</v>
      </c>
      <c r="W27" s="20">
        <f t="shared" ref="W27:X27" si="38">W25-W26</f>
        <v>20</v>
      </c>
      <c r="X27" s="20">
        <f t="shared" si="38"/>
        <v>-4</v>
      </c>
      <c r="Y27" s="14">
        <f>240*V27+12*W27+X27</f>
        <v>394076</v>
      </c>
      <c r="Z27" s="20">
        <f>Z25-Z26</f>
        <v>1415</v>
      </c>
      <c r="AA27" s="20">
        <f t="shared" ref="AA27:AB27" si="39">AA25-AA26</f>
        <v>-175</v>
      </c>
      <c r="AB27" s="20">
        <f t="shared" si="39"/>
        <v>-37</v>
      </c>
      <c r="AC27" s="14">
        <f>240*Z27+12*AA27+AB27</f>
        <v>337463</v>
      </c>
      <c r="AD27" s="20">
        <f>AD25-AD26</f>
        <v>1183</v>
      </c>
      <c r="AE27" s="20">
        <f t="shared" ref="AE27:AF27" si="40">AE25-AE26</f>
        <v>-1</v>
      </c>
      <c r="AF27" s="20">
        <f t="shared" si="40"/>
        <v>-16</v>
      </c>
      <c r="AG27" s="14">
        <f>240*AD27+12*AE27+AF27</f>
        <v>283892</v>
      </c>
      <c r="AH27" s="20">
        <f>AH25-AH26</f>
        <v>1433</v>
      </c>
      <c r="AI27" s="20">
        <f t="shared" ref="AI27:AJ27" si="41">AI25-AI26</f>
        <v>-9</v>
      </c>
      <c r="AJ27" s="20">
        <f t="shared" si="41"/>
        <v>-11</v>
      </c>
      <c r="AK27" s="14">
        <f>240*AH27+12*AI27+AJ27</f>
        <v>343801</v>
      </c>
      <c r="AL27" s="20">
        <f>AL25-AL26</f>
        <v>3210</v>
      </c>
      <c r="AM27" s="20">
        <f t="shared" ref="AM27:AN27" si="42">AM25-AM26</f>
        <v>-20</v>
      </c>
      <c r="AN27" s="20">
        <f t="shared" si="42"/>
        <v>23</v>
      </c>
      <c r="AO27" s="14">
        <f>240*AL27+12*AM27+AN27</f>
        <v>770183</v>
      </c>
      <c r="AP27" s="20">
        <f>AP25-AP26</f>
        <v>1026</v>
      </c>
      <c r="AQ27" s="20">
        <f t="shared" ref="AQ27" si="43">AQ25-AQ26</f>
        <v>-3</v>
      </c>
      <c r="AR27" s="20">
        <f t="shared" ref="AR27" si="44">AR25-AR26</f>
        <v>4</v>
      </c>
      <c r="AS27" s="14">
        <f>240*AP27+12*AQ27+AR27</f>
        <v>246208</v>
      </c>
      <c r="AT27" s="20">
        <f>AT25-AT26</f>
        <v>800</v>
      </c>
      <c r="AU27" s="20">
        <f t="shared" ref="AU27" si="45">AU25-AU26</f>
        <v>3</v>
      </c>
      <c r="AV27" s="20">
        <f t="shared" ref="AV27" si="46">AV25-AV26</f>
        <v>8</v>
      </c>
      <c r="AW27" s="14">
        <f>240*AT27+12*AU27+AV27</f>
        <v>192044</v>
      </c>
      <c r="AX27" s="20">
        <f>AX25-AX26</f>
        <v>-701</v>
      </c>
      <c r="AY27" s="20">
        <f t="shared" ref="AY27" si="47">AY25-AY26</f>
        <v>15</v>
      </c>
      <c r="AZ27" s="20">
        <f t="shared" ref="AZ27" si="48">AZ25-AZ26</f>
        <v>2</v>
      </c>
      <c r="BA27" s="14">
        <f>240*AX27+12*AY27+AZ27</f>
        <v>-168058</v>
      </c>
      <c r="BB27" s="20">
        <f>BB25-BB26</f>
        <v>719</v>
      </c>
      <c r="BC27" s="20">
        <f t="shared" ref="BC27" si="49">BC25-BC26</f>
        <v>-13</v>
      </c>
      <c r="BD27" s="20">
        <f t="shared" ref="BD27" si="50">BD25-BD26</f>
        <v>7</v>
      </c>
      <c r="BE27" s="14">
        <f>240*BB27+12*BC27+BD27</f>
        <v>172411</v>
      </c>
      <c r="BF27" s="20">
        <f>BF25-BF26</f>
        <v>-1139</v>
      </c>
      <c r="BG27" s="20">
        <f t="shared" ref="BG27:BH27" si="51">BG25-BG26</f>
        <v>-16</v>
      </c>
      <c r="BH27" s="20">
        <f t="shared" si="51"/>
        <v>10</v>
      </c>
      <c r="BI27" s="14">
        <f>240*BF27+12*BG27+BH27</f>
        <v>-273542</v>
      </c>
      <c r="BJ27" s="27">
        <f>BJ25-BJ26</f>
        <v>-3286</v>
      </c>
      <c r="BK27" s="20">
        <f t="shared" ref="BK27" si="52">BK25-BK26</f>
        <v>26</v>
      </c>
      <c r="BL27" s="20">
        <f t="shared" ref="BL27" si="53">BL25-BL26</f>
        <v>4</v>
      </c>
      <c r="BM27" s="14">
        <f>240*BJ27+12*BK27+BL27</f>
        <v>-788324</v>
      </c>
      <c r="BN27" s="27">
        <f>BN25-BN26</f>
        <v>3441</v>
      </c>
      <c r="BO27" s="20"/>
      <c r="BP27" s="20"/>
      <c r="BQ27" s="14"/>
      <c r="BR27" s="27">
        <f>BR25-BR26</f>
        <v>-152069</v>
      </c>
      <c r="BS27" s="20"/>
      <c r="BT27" s="20"/>
      <c r="BU27" s="14"/>
      <c r="BV27" s="27">
        <f>BV25-BV26</f>
        <v>-152428</v>
      </c>
      <c r="BW27" s="27">
        <f>BW25-BW26</f>
        <v>16630</v>
      </c>
      <c r="BX27" s="14"/>
      <c r="BY27" s="27">
        <f>BY25-BY26</f>
        <v>-162066</v>
      </c>
      <c r="CA27" s="27">
        <f>CA25-CA26</f>
        <v>-1374000</v>
      </c>
      <c r="CC27" s="27">
        <f>CC25-CC26</f>
        <v>-339000</v>
      </c>
      <c r="CE27" s="27">
        <f>CE25-CE26</f>
        <v>-645000</v>
      </c>
      <c r="CG27" s="27">
        <f>CG25-CG26</f>
        <v>-24000</v>
      </c>
    </row>
    <row r="28" spans="1:86" ht="18.75" x14ac:dyDescent="0.3">
      <c r="A28" s="16" t="s">
        <v>35</v>
      </c>
      <c r="AT28" s="7"/>
      <c r="AU28" s="7"/>
      <c r="AV28" s="7"/>
      <c r="AX28" s="7"/>
      <c r="AY28" s="7"/>
      <c r="AZ28" s="7"/>
      <c r="BB28" s="7"/>
      <c r="BC28" s="7"/>
      <c r="BD28" s="7"/>
      <c r="BF28" s="7"/>
      <c r="BG28" s="7"/>
      <c r="BH28" s="7"/>
      <c r="BJ28" s="14"/>
      <c r="BK28" s="7"/>
      <c r="BL28" s="7"/>
      <c r="BQ28" s="14"/>
      <c r="BU28" s="14"/>
      <c r="BX28" s="14"/>
    </row>
    <row r="29" spans="1:86" x14ac:dyDescent="0.25">
      <c r="A29" s="11" t="s">
        <v>18</v>
      </c>
      <c r="B29" s="5"/>
      <c r="C29" s="5"/>
      <c r="D29" s="5"/>
      <c r="F29" s="5"/>
      <c r="G29" s="5"/>
      <c r="H29" s="5"/>
      <c r="J29" s="5"/>
      <c r="K29" s="5"/>
      <c r="L29" s="5"/>
      <c r="N29" s="5"/>
      <c r="O29" s="5"/>
      <c r="P29" s="5"/>
      <c r="R29" s="5"/>
      <c r="S29" s="5"/>
      <c r="T29" s="5"/>
      <c r="V29" s="5"/>
      <c r="W29" s="5"/>
      <c r="X29" s="5"/>
      <c r="Z29" s="5"/>
      <c r="AA29" s="5"/>
      <c r="AB29" s="5"/>
      <c r="AD29" s="5"/>
      <c r="AE29" s="5"/>
      <c r="AF29" s="5"/>
      <c r="AH29" s="5"/>
      <c r="AI29" s="5"/>
      <c r="AJ29" s="5"/>
      <c r="AL29" s="5"/>
      <c r="AM29" s="5"/>
      <c r="AN29" s="5"/>
      <c r="AP29" s="5"/>
      <c r="AQ29" s="5"/>
      <c r="AR29" s="5"/>
      <c r="AT29" s="5"/>
      <c r="AU29" s="5"/>
      <c r="AV29" s="5"/>
      <c r="AX29" s="5"/>
      <c r="AY29" s="5"/>
      <c r="AZ29" s="5"/>
      <c r="BB29" s="5"/>
      <c r="BC29" s="5"/>
      <c r="BD29" s="5"/>
      <c r="BF29" s="5"/>
      <c r="BG29" s="5"/>
      <c r="BH29" s="5"/>
      <c r="BJ29" s="28"/>
      <c r="BK29" s="5"/>
      <c r="BL29" s="5"/>
      <c r="BN29" s="28"/>
      <c r="BO29" s="5"/>
      <c r="BP29" s="5"/>
      <c r="BQ29" s="14"/>
      <c r="BR29" s="28"/>
      <c r="BS29" s="5"/>
      <c r="BT29" s="5"/>
      <c r="BU29" s="14"/>
      <c r="BV29" s="28"/>
      <c r="BW29" s="28"/>
      <c r="BX29" s="14"/>
      <c r="BY29" s="28"/>
      <c r="CA29" s="28"/>
      <c r="CC29" s="28"/>
      <c r="CE29" s="28"/>
      <c r="CG29" s="28"/>
    </row>
    <row r="30" spans="1:86" x14ac:dyDescent="0.25">
      <c r="A30" s="4" t="s">
        <v>5</v>
      </c>
      <c r="B30" s="4"/>
      <c r="C30" s="4"/>
      <c r="D30" s="4"/>
      <c r="F30" s="4">
        <v>508</v>
      </c>
      <c r="G30" s="4">
        <v>17</v>
      </c>
      <c r="H30" s="4">
        <v>6</v>
      </c>
      <c r="J30" s="4">
        <v>602</v>
      </c>
      <c r="K30" s="4">
        <v>11</v>
      </c>
      <c r="L30" s="4"/>
      <c r="N30" s="4">
        <v>287</v>
      </c>
      <c r="O30" s="4">
        <v>2</v>
      </c>
      <c r="P30" s="4">
        <v>6</v>
      </c>
      <c r="R30" s="4">
        <f>251+36</f>
        <v>287</v>
      </c>
      <c r="S30" s="4">
        <f>2+16</f>
        <v>18</v>
      </c>
      <c r="T30" s="4">
        <f>6+6</f>
        <v>12</v>
      </c>
      <c r="V30" s="4">
        <v>298</v>
      </c>
      <c r="W30" s="4">
        <v>9</v>
      </c>
      <c r="X30" s="4">
        <v>3</v>
      </c>
      <c r="Z30" s="4">
        <v>380</v>
      </c>
      <c r="AA30" s="4">
        <v>8</v>
      </c>
      <c r="AB30" s="4"/>
      <c r="AD30" s="4">
        <v>622</v>
      </c>
      <c r="AE30" s="4">
        <v>19</v>
      </c>
      <c r="AF30" s="4">
        <v>0</v>
      </c>
      <c r="AH30" s="4">
        <v>789</v>
      </c>
      <c r="AI30" s="4">
        <v>11</v>
      </c>
      <c r="AJ30" s="4">
        <v>6</v>
      </c>
      <c r="AL30" s="4">
        <f>653+5</f>
        <v>658</v>
      </c>
      <c r="AM30" s="4">
        <f>18+5</f>
        <v>23</v>
      </c>
      <c r="AN30" s="4">
        <f>6</f>
        <v>6</v>
      </c>
      <c r="AP30" s="4">
        <v>779</v>
      </c>
      <c r="AQ30" s="4">
        <v>14</v>
      </c>
      <c r="AR30" s="4">
        <v>4</v>
      </c>
      <c r="AT30" s="4">
        <v>1092</v>
      </c>
      <c r="AU30" s="4">
        <v>19</v>
      </c>
      <c r="AV30" s="4">
        <v>6</v>
      </c>
      <c r="AX30" s="4">
        <v>1498</v>
      </c>
      <c r="AY30" s="4">
        <v>4</v>
      </c>
      <c r="AZ30" s="4">
        <v>5</v>
      </c>
      <c r="BB30" s="4">
        <v>5556</v>
      </c>
      <c r="BC30" s="4">
        <v>9</v>
      </c>
      <c r="BD30" s="4">
        <v>1</v>
      </c>
      <c r="BF30" s="4">
        <v>6487</v>
      </c>
      <c r="BG30" s="4">
        <v>7</v>
      </c>
      <c r="BH30" s="4">
        <v>1</v>
      </c>
      <c r="BJ30" s="29">
        <v>17928</v>
      </c>
      <c r="BK30" s="4">
        <v>14</v>
      </c>
      <c r="BL30" s="4">
        <v>8</v>
      </c>
      <c r="BN30" s="29">
        <v>79019</v>
      </c>
      <c r="BO30" s="4"/>
      <c r="BP30" s="4"/>
      <c r="BQ30" s="14"/>
      <c r="BR30" s="29">
        <v>203362</v>
      </c>
      <c r="BS30" s="4"/>
      <c r="BT30" s="4"/>
      <c r="BU30" s="14"/>
      <c r="BV30" s="29">
        <v>515999</v>
      </c>
      <c r="BW30" s="29">
        <v>758122</v>
      </c>
      <c r="BX30" s="14"/>
      <c r="BY30" s="29">
        <v>1284060</v>
      </c>
      <c r="CA30" s="29">
        <v>1588000</v>
      </c>
      <c r="CC30" s="29">
        <v>1773000</v>
      </c>
      <c r="CE30" s="29"/>
      <c r="CG30" s="29"/>
    </row>
    <row r="31" spans="1:86" x14ac:dyDescent="0.25">
      <c r="A31" s="4" t="s">
        <v>6</v>
      </c>
      <c r="B31" s="4"/>
      <c r="C31" s="4"/>
      <c r="D31" s="4"/>
      <c r="F31" s="4"/>
      <c r="G31" s="4"/>
      <c r="H31" s="4"/>
      <c r="J31" s="4"/>
      <c r="K31" s="4"/>
      <c r="L31" s="4"/>
      <c r="N31" s="4"/>
      <c r="O31" s="4"/>
      <c r="P31" s="4"/>
      <c r="R31" s="4"/>
      <c r="S31" s="4"/>
      <c r="T31" s="4"/>
      <c r="V31" s="4"/>
      <c r="W31" s="4"/>
      <c r="X31" s="4"/>
      <c r="Z31" s="4"/>
      <c r="AA31" s="4"/>
      <c r="AB31" s="4"/>
      <c r="AD31" s="4"/>
      <c r="AE31" s="4"/>
      <c r="AF31" s="4"/>
      <c r="AH31" s="4"/>
      <c r="AI31" s="4"/>
      <c r="AJ31" s="4"/>
      <c r="AL31" s="4"/>
      <c r="AM31" s="4"/>
      <c r="AN31" s="4"/>
      <c r="AP31" s="4">
        <v>-71</v>
      </c>
      <c r="AQ31" s="4">
        <v>-8</v>
      </c>
      <c r="AR31" s="4">
        <v>-4</v>
      </c>
      <c r="AT31" s="4">
        <v>-105</v>
      </c>
      <c r="AU31" s="4">
        <v>-11</v>
      </c>
      <c r="AV31" s="4">
        <v>-6</v>
      </c>
      <c r="AX31" s="4">
        <v>-147</v>
      </c>
      <c r="AY31" s="4">
        <v>-2</v>
      </c>
      <c r="AZ31" s="4">
        <v>-5</v>
      </c>
      <c r="BB31" s="4">
        <v>-553</v>
      </c>
      <c r="BC31" s="4">
        <v>-12</v>
      </c>
      <c r="BD31" s="4">
        <v>-10</v>
      </c>
      <c r="BF31" s="4">
        <v>-643</v>
      </c>
      <c r="BG31" s="4">
        <v>-6</v>
      </c>
      <c r="BH31" s="4">
        <v>-7</v>
      </c>
      <c r="BJ31" s="29">
        <v>-1694</v>
      </c>
      <c r="BK31" s="4">
        <v>-3</v>
      </c>
      <c r="BL31" s="4">
        <v>-6</v>
      </c>
      <c r="BN31" s="29"/>
      <c r="BO31" s="4"/>
      <c r="BP31" s="4"/>
      <c r="BQ31" s="14"/>
      <c r="BR31" s="29"/>
      <c r="BS31" s="4"/>
      <c r="BT31" s="4"/>
      <c r="BU31" s="14"/>
      <c r="BV31" s="29"/>
      <c r="BW31" s="29"/>
      <c r="BX31" s="14"/>
      <c r="BY31" s="29"/>
      <c r="CA31" s="29"/>
      <c r="CC31" s="29"/>
      <c r="CE31" s="29"/>
      <c r="CG31" s="29"/>
    </row>
    <row r="32" spans="1:86" x14ac:dyDescent="0.25">
      <c r="A32" s="4" t="s">
        <v>23</v>
      </c>
      <c r="B32" s="4"/>
      <c r="C32" s="4"/>
      <c r="D32" s="4"/>
      <c r="F32" s="4"/>
      <c r="G32" s="4"/>
      <c r="H32" s="4"/>
      <c r="J32" s="4"/>
      <c r="K32" s="4"/>
      <c r="L32" s="4"/>
      <c r="N32" s="4"/>
      <c r="O32" s="4"/>
      <c r="P32" s="4"/>
      <c r="R32" s="4"/>
      <c r="S32" s="4"/>
      <c r="T32" s="4"/>
      <c r="V32" s="4"/>
      <c r="W32" s="4"/>
      <c r="X32" s="4"/>
      <c r="Z32" s="4"/>
      <c r="AA32" s="4"/>
      <c r="AB32" s="4"/>
      <c r="AD32" s="4"/>
      <c r="AE32" s="4"/>
      <c r="AF32" s="4"/>
      <c r="AH32" s="4"/>
      <c r="AI32" s="4"/>
      <c r="AJ32" s="4"/>
      <c r="AL32" s="4"/>
      <c r="AM32" s="4"/>
      <c r="AN32" s="4"/>
      <c r="AP32" s="4"/>
      <c r="AQ32" s="4"/>
      <c r="AR32" s="4"/>
      <c r="AT32" s="4"/>
      <c r="AU32" s="4"/>
      <c r="AV32" s="4"/>
      <c r="AX32" s="4"/>
      <c r="AY32" s="4"/>
      <c r="AZ32" s="4"/>
      <c r="BB32" s="4"/>
      <c r="BC32" s="4"/>
      <c r="BD32" s="4"/>
      <c r="BF32" s="4">
        <f>7+5+0+80</f>
        <v>92</v>
      </c>
      <c r="BG32" s="4">
        <f>2+5+1+1+1</f>
        <v>10</v>
      </c>
      <c r="BH32" s="4">
        <v>7</v>
      </c>
      <c r="BJ32" s="29">
        <f>13+16+86+44+18+2</f>
        <v>179</v>
      </c>
      <c r="BK32" s="4">
        <v>9</v>
      </c>
      <c r="BL32" s="4">
        <v>11</v>
      </c>
      <c r="BN32" s="29"/>
      <c r="BO32" s="4"/>
      <c r="BP32" s="4"/>
      <c r="BQ32" s="14"/>
      <c r="BR32" s="29"/>
      <c r="BS32" s="4"/>
      <c r="BT32" s="4"/>
      <c r="BU32" s="14"/>
      <c r="BV32" s="29"/>
      <c r="BW32" s="29"/>
      <c r="BX32" s="14"/>
      <c r="BY32" s="29"/>
      <c r="CA32" s="29"/>
      <c r="CC32" s="29"/>
      <c r="CE32" s="29"/>
      <c r="CG32" s="29"/>
    </row>
    <row r="33" spans="1:85" x14ac:dyDescent="0.25">
      <c r="A33" s="11" t="s">
        <v>36</v>
      </c>
      <c r="B33" s="5">
        <f>SUM(B30:B32)</f>
        <v>0</v>
      </c>
      <c r="C33" s="5">
        <f t="shared" ref="C33:D33" si="54">SUM(C30:C32)</f>
        <v>0</v>
      </c>
      <c r="D33" s="5">
        <f t="shared" si="54"/>
        <v>0</v>
      </c>
      <c r="E33" s="14">
        <f>240*B33+12*C33+D33</f>
        <v>0</v>
      </c>
      <c r="F33" s="5">
        <f>SUM(F30:F32)</f>
        <v>508</v>
      </c>
      <c r="G33" s="5">
        <f t="shared" ref="G33:H33" si="55">SUM(G30:G32)</f>
        <v>17</v>
      </c>
      <c r="H33" s="5">
        <f t="shared" si="55"/>
        <v>6</v>
      </c>
      <c r="I33" s="14">
        <f>240*F33+12*G33+H33</f>
        <v>122130</v>
      </c>
      <c r="J33" s="5">
        <f>SUM(J30:J32)</f>
        <v>602</v>
      </c>
      <c r="K33" s="5">
        <f t="shared" ref="K33:L33" si="56">SUM(K30:K32)</f>
        <v>11</v>
      </c>
      <c r="L33" s="5">
        <f t="shared" si="56"/>
        <v>0</v>
      </c>
      <c r="M33" s="14">
        <f>240*J33+12*K33+L33</f>
        <v>144612</v>
      </c>
      <c r="N33" s="5">
        <f>SUM(N30:N32)</f>
        <v>287</v>
      </c>
      <c r="O33" s="5">
        <f t="shared" ref="O33:P33" si="57">SUM(O30:O32)</f>
        <v>2</v>
      </c>
      <c r="P33" s="5">
        <f t="shared" si="57"/>
        <v>6</v>
      </c>
      <c r="Q33" s="14">
        <f>240*N33+12*O33+P33</f>
        <v>68910</v>
      </c>
      <c r="R33" s="5">
        <f>SUM(R30:R32)</f>
        <v>287</v>
      </c>
      <c r="S33" s="5">
        <f t="shared" ref="S33:T33" si="58">SUM(S30:S32)</f>
        <v>18</v>
      </c>
      <c r="T33" s="5">
        <f t="shared" si="58"/>
        <v>12</v>
      </c>
      <c r="U33" s="14">
        <f>240*R33+12*S33+T33</f>
        <v>69108</v>
      </c>
      <c r="V33" s="5">
        <f>SUM(V30:V32)</f>
        <v>298</v>
      </c>
      <c r="W33" s="5">
        <f t="shared" ref="W33:X33" si="59">SUM(W30:W32)</f>
        <v>9</v>
      </c>
      <c r="X33" s="5">
        <f t="shared" si="59"/>
        <v>3</v>
      </c>
      <c r="Y33" s="14">
        <f>240*V33+12*W33+X33</f>
        <v>71631</v>
      </c>
      <c r="Z33" s="5">
        <f>SUM(Z30:Z32)</f>
        <v>380</v>
      </c>
      <c r="AA33" s="5">
        <f t="shared" ref="AA33:AB33" si="60">SUM(AA30:AA32)</f>
        <v>8</v>
      </c>
      <c r="AB33" s="5">
        <f t="shared" si="60"/>
        <v>0</v>
      </c>
      <c r="AC33" s="14">
        <f>240*Z33+12*AA33+AB33</f>
        <v>91296</v>
      </c>
      <c r="AD33" s="5">
        <f>SUM(AD30:AD32)</f>
        <v>622</v>
      </c>
      <c r="AE33" s="5">
        <f t="shared" ref="AE33:AF33" si="61">SUM(AE30:AE32)</f>
        <v>19</v>
      </c>
      <c r="AF33" s="5">
        <f t="shared" si="61"/>
        <v>0</v>
      </c>
      <c r="AG33" s="14">
        <f>240*AD33+12*AE33+AF33</f>
        <v>149508</v>
      </c>
      <c r="AH33" s="5">
        <f>SUM(AH30:AH32)</f>
        <v>789</v>
      </c>
      <c r="AI33" s="5">
        <f t="shared" ref="AI33:AJ33" si="62">SUM(AI30:AI32)</f>
        <v>11</v>
      </c>
      <c r="AJ33" s="5">
        <f t="shared" si="62"/>
        <v>6</v>
      </c>
      <c r="AK33" s="14">
        <f>240*AH33+12*AI33+AJ33</f>
        <v>189498</v>
      </c>
      <c r="AL33" s="5">
        <f>SUM(AL30:AL32)</f>
        <v>658</v>
      </c>
      <c r="AM33" s="5">
        <f t="shared" ref="AM33:AN33" si="63">SUM(AM30:AM32)</f>
        <v>23</v>
      </c>
      <c r="AN33" s="5">
        <f t="shared" si="63"/>
        <v>6</v>
      </c>
      <c r="AO33" s="14">
        <f>240*AL33+12*AM33+AN33</f>
        <v>158202</v>
      </c>
      <c r="AP33" s="5">
        <f>SUM(AP30:AP32)</f>
        <v>708</v>
      </c>
      <c r="AQ33" s="5">
        <f t="shared" ref="AQ33:AR33" si="64">SUM(AQ30:AQ32)</f>
        <v>6</v>
      </c>
      <c r="AR33" s="5">
        <f t="shared" si="64"/>
        <v>0</v>
      </c>
      <c r="AS33" s="14">
        <f>240*AP33+12*AQ33+AR33</f>
        <v>169992</v>
      </c>
      <c r="AT33" s="5">
        <f>SUM(AT30:AT32)</f>
        <v>987</v>
      </c>
      <c r="AU33" s="5">
        <f t="shared" ref="AU33" si="65">SUM(AU30:AU32)</f>
        <v>8</v>
      </c>
      <c r="AV33" s="5">
        <f t="shared" ref="AV33" si="66">SUM(AV30:AV32)</f>
        <v>0</v>
      </c>
      <c r="AW33" s="14">
        <f>240*AT33+12*AU33+AV33</f>
        <v>236976</v>
      </c>
      <c r="AX33" s="5">
        <f>SUM(AX30:AX32)</f>
        <v>1351</v>
      </c>
      <c r="AY33" s="5">
        <f t="shared" ref="AY33" si="67">SUM(AY30:AY32)</f>
        <v>2</v>
      </c>
      <c r="AZ33" s="5">
        <f t="shared" ref="AZ33" si="68">SUM(AZ30:AZ32)</f>
        <v>0</v>
      </c>
      <c r="BA33" s="14">
        <f>240*AX33+12*AY33+AZ33</f>
        <v>324264</v>
      </c>
      <c r="BB33" s="5">
        <f>SUM(BB30:BB32)</f>
        <v>5003</v>
      </c>
      <c r="BC33" s="5">
        <f t="shared" ref="BC33" si="69">SUM(BC30:BC32)</f>
        <v>-3</v>
      </c>
      <c r="BD33" s="5">
        <f t="shared" ref="BD33" si="70">SUM(BD30:BD32)</f>
        <v>-9</v>
      </c>
      <c r="BE33" s="14">
        <f>240*BB33+12*BC33+BD33</f>
        <v>1200675</v>
      </c>
      <c r="BF33" s="5">
        <f>SUM(BF30:BF32)</f>
        <v>5936</v>
      </c>
      <c r="BG33" s="5">
        <f t="shared" ref="BG33" si="71">SUM(BG30:BG32)</f>
        <v>11</v>
      </c>
      <c r="BH33" s="5">
        <f t="shared" ref="BH33" si="72">SUM(BH30:BH32)</f>
        <v>1</v>
      </c>
      <c r="BI33" s="14">
        <f>240*BF33+12*BG33+BH33</f>
        <v>1424773</v>
      </c>
      <c r="BJ33" s="28">
        <f>SUM(BJ30:BJ32)</f>
        <v>16413</v>
      </c>
      <c r="BK33" s="5">
        <f t="shared" ref="BK33" si="73">SUM(BK30:BK32)</f>
        <v>20</v>
      </c>
      <c r="BL33" s="5">
        <f t="shared" ref="BL33" si="74">SUM(BL30:BL32)</f>
        <v>13</v>
      </c>
      <c r="BM33" s="14">
        <f>240*BJ33+12*BK33+BL33</f>
        <v>3939373</v>
      </c>
      <c r="BN33" s="28">
        <f>SUM(BN30:BN32)</f>
        <v>79019</v>
      </c>
      <c r="BO33" s="5">
        <f t="shared" ref="BO33:BP33" si="75">SUM(BO30:BO32)</f>
        <v>0</v>
      </c>
      <c r="BP33" s="5">
        <f t="shared" si="75"/>
        <v>0</v>
      </c>
      <c r="BQ33" s="14"/>
      <c r="BR33" s="28">
        <f>SUM(BR30:BR32)</f>
        <v>203362</v>
      </c>
      <c r="BS33" s="5">
        <f t="shared" ref="BS33:BT33" si="76">SUM(BS30:BS32)</f>
        <v>0</v>
      </c>
      <c r="BT33" s="5">
        <f t="shared" si="76"/>
        <v>0</v>
      </c>
      <c r="BU33" s="14"/>
      <c r="BV33" s="28">
        <f>SUM(BV30:BV32)</f>
        <v>515999</v>
      </c>
      <c r="BW33" s="28">
        <f>SUM(BW30:BW32)</f>
        <v>758122</v>
      </c>
      <c r="BX33" s="14"/>
      <c r="BY33" s="28">
        <f>SUM(BY30:BY32)</f>
        <v>1284060</v>
      </c>
      <c r="CA33" s="28">
        <f>SUM(CA30:CA32)</f>
        <v>1588000</v>
      </c>
      <c r="CC33" s="28">
        <f>SUM(CC30:CC32)</f>
        <v>1773000</v>
      </c>
      <c r="CE33" s="28">
        <v>2355000</v>
      </c>
      <c r="CG33" s="28">
        <v>4406000</v>
      </c>
    </row>
    <row r="34" spans="1:85" x14ac:dyDescent="0.25">
      <c r="A34" s="4" t="s">
        <v>29</v>
      </c>
      <c r="B34" s="4"/>
      <c r="C34" s="4"/>
      <c r="D34" s="4"/>
      <c r="F34" s="4"/>
      <c r="G34" s="4"/>
      <c r="H34" s="4"/>
      <c r="J34" s="4"/>
      <c r="K34" s="4"/>
      <c r="L34" s="4"/>
      <c r="N34" s="4"/>
      <c r="O34" s="4"/>
      <c r="P34" s="4"/>
      <c r="R34" s="4"/>
      <c r="S34" s="4"/>
      <c r="T34" s="4"/>
      <c r="V34" s="4"/>
      <c r="W34" s="4"/>
      <c r="X34" s="4"/>
      <c r="Z34" s="4"/>
      <c r="AA34" s="4"/>
      <c r="AB34" s="4"/>
      <c r="AD34" s="4"/>
      <c r="AE34" s="4"/>
      <c r="AF34" s="4"/>
      <c r="AH34" s="4"/>
      <c r="AI34" s="4"/>
      <c r="AJ34" s="4"/>
      <c r="AL34" s="4"/>
      <c r="AM34" s="4"/>
      <c r="AN34" s="4"/>
      <c r="AP34" s="4">
        <v>999</v>
      </c>
      <c r="AQ34" s="4">
        <v>19</v>
      </c>
      <c r="AR34" s="4">
        <v>12</v>
      </c>
      <c r="AT34" s="4">
        <v>1000</v>
      </c>
      <c r="AU34" s="4"/>
      <c r="AV34" s="4"/>
      <c r="AX34" s="4">
        <v>1000</v>
      </c>
      <c r="AY34" s="4"/>
      <c r="AZ34" s="4"/>
      <c r="BB34" s="4">
        <v>3500</v>
      </c>
      <c r="BC34" s="4"/>
      <c r="BD34" s="4"/>
      <c r="BF34" s="4">
        <f>1000+695</f>
        <v>1695</v>
      </c>
      <c r="BG34" s="4"/>
      <c r="BH34" s="4"/>
      <c r="BJ34" s="29">
        <f>1000+95</f>
        <v>1095</v>
      </c>
      <c r="BK34" s="4">
        <v>14</v>
      </c>
      <c r="BL34" s="4">
        <v>9</v>
      </c>
      <c r="BN34" s="14"/>
      <c r="BO34" s="7"/>
      <c r="BP34" s="7"/>
      <c r="BQ34" s="14"/>
      <c r="BR34" s="14"/>
      <c r="BS34" s="7"/>
      <c r="BT34" s="7"/>
      <c r="BU34" s="14"/>
      <c r="BV34" s="14"/>
      <c r="BW34" s="14"/>
      <c r="BX34" s="14"/>
      <c r="BY34" s="14"/>
      <c r="CA34" s="14"/>
      <c r="CC34" s="14"/>
      <c r="CE34" s="14"/>
      <c r="CG34" s="14"/>
    </row>
    <row r="35" spans="1:85" x14ac:dyDescent="0.25">
      <c r="A35" s="4" t="s">
        <v>30</v>
      </c>
      <c r="B35" s="4"/>
      <c r="C35" s="4"/>
      <c r="D35" s="4"/>
      <c r="F35" s="4"/>
      <c r="G35" s="4"/>
      <c r="H35" s="4"/>
      <c r="J35" s="4"/>
      <c r="K35" s="4"/>
      <c r="L35" s="4"/>
      <c r="N35" s="4"/>
      <c r="O35" s="4"/>
      <c r="P35" s="4"/>
      <c r="R35" s="4"/>
      <c r="S35" s="4"/>
      <c r="T35" s="4"/>
      <c r="V35" s="4"/>
      <c r="W35" s="4"/>
      <c r="X35" s="4"/>
      <c r="Z35" s="4"/>
      <c r="AA35" s="4"/>
      <c r="AB35" s="4"/>
      <c r="AD35" s="4"/>
      <c r="AE35" s="4"/>
      <c r="AF35" s="4"/>
      <c r="AH35" s="4"/>
      <c r="AI35" s="4"/>
      <c r="AJ35" s="4"/>
      <c r="AL35" s="4"/>
      <c r="AM35" s="4"/>
      <c r="AN35" s="4"/>
      <c r="AP35" s="4">
        <v>511</v>
      </c>
      <c r="AQ35" s="4">
        <v>13</v>
      </c>
      <c r="AR35" s="4">
        <v>4</v>
      </c>
      <c r="AT35" s="4">
        <v>225</v>
      </c>
      <c r="AU35" s="4">
        <v>14</v>
      </c>
      <c r="AV35" s="4">
        <v>0</v>
      </c>
      <c r="AX35" s="4">
        <v>465</v>
      </c>
      <c r="AY35" s="4"/>
      <c r="AZ35" s="4"/>
      <c r="BB35" s="4">
        <v>1560</v>
      </c>
      <c r="BC35" s="4"/>
      <c r="BD35" s="4"/>
      <c r="BF35" s="4"/>
      <c r="BG35" s="4"/>
      <c r="BH35" s="4"/>
      <c r="BJ35" s="29"/>
      <c r="BK35" s="4"/>
      <c r="BL35" s="4"/>
      <c r="BN35" s="14"/>
      <c r="BO35" s="7"/>
      <c r="BP35" s="7"/>
      <c r="BQ35" s="14"/>
      <c r="BR35" s="14"/>
      <c r="BS35" s="7"/>
      <c r="BT35" s="7"/>
      <c r="BU35" s="14"/>
      <c r="BV35" s="14"/>
      <c r="BW35" s="14"/>
      <c r="BX35" s="14"/>
      <c r="BY35" s="14"/>
      <c r="CA35" s="14"/>
      <c r="CC35" s="14"/>
      <c r="CE35" s="14"/>
      <c r="CG35" s="14"/>
    </row>
    <row r="36" spans="1:85" x14ac:dyDescent="0.25">
      <c r="A36" s="11" t="s">
        <v>36</v>
      </c>
      <c r="B36" s="5">
        <f>B34-B35</f>
        <v>0</v>
      </c>
      <c r="C36" s="5">
        <f t="shared" ref="C36:D36" si="77">C34-C35</f>
        <v>0</v>
      </c>
      <c r="D36" s="5">
        <f t="shared" si="77"/>
        <v>0</v>
      </c>
      <c r="E36" s="14">
        <f>240*B36+12*C36+D36</f>
        <v>0</v>
      </c>
      <c r="F36" s="5">
        <f>F34-F35</f>
        <v>0</v>
      </c>
      <c r="G36" s="5">
        <f t="shared" ref="G36:H36" si="78">G34-G35</f>
        <v>0</v>
      </c>
      <c r="H36" s="5">
        <f t="shared" si="78"/>
        <v>0</v>
      </c>
      <c r="I36" s="14">
        <f t="shared" ref="I36:I37" si="79">240*F36+12*G36+H36</f>
        <v>0</v>
      </c>
      <c r="J36" s="5">
        <f>J34-J35</f>
        <v>0</v>
      </c>
      <c r="K36" s="5">
        <f t="shared" ref="K36:L36" si="80">K34-K35</f>
        <v>0</v>
      </c>
      <c r="L36" s="5">
        <f t="shared" si="80"/>
        <v>0</v>
      </c>
      <c r="M36" s="14">
        <f t="shared" ref="M36:M37" si="81">240*J36+12*K36+L36</f>
        <v>0</v>
      </c>
      <c r="N36" s="5">
        <f>N34-N35</f>
        <v>0</v>
      </c>
      <c r="O36" s="5">
        <f t="shared" ref="O36:P36" si="82">O34-O35</f>
        <v>0</v>
      </c>
      <c r="P36" s="5">
        <f t="shared" si="82"/>
        <v>0</v>
      </c>
      <c r="Q36" s="14">
        <f>240*N36+12*O36+P36</f>
        <v>0</v>
      </c>
      <c r="R36" s="5">
        <f>R34-R35</f>
        <v>0</v>
      </c>
      <c r="S36" s="5">
        <f t="shared" ref="S36:T36" si="83">S34-S35</f>
        <v>0</v>
      </c>
      <c r="T36" s="5">
        <f t="shared" si="83"/>
        <v>0</v>
      </c>
      <c r="U36" s="14">
        <f>240*R36+12*S36+T36</f>
        <v>0</v>
      </c>
      <c r="V36" s="5">
        <f>V34-V35</f>
        <v>0</v>
      </c>
      <c r="W36" s="5">
        <f t="shared" ref="W36:X36" si="84">W34-W35</f>
        <v>0</v>
      </c>
      <c r="X36" s="5">
        <f t="shared" si="84"/>
        <v>0</v>
      </c>
      <c r="Y36" s="14">
        <f>240*V36+12*W36+X36</f>
        <v>0</v>
      </c>
      <c r="Z36" s="5">
        <f>Z34-Z35</f>
        <v>0</v>
      </c>
      <c r="AA36" s="5">
        <f t="shared" ref="AA36:AB36" si="85">AA34-AA35</f>
        <v>0</v>
      </c>
      <c r="AB36" s="5">
        <f t="shared" si="85"/>
        <v>0</v>
      </c>
      <c r="AC36" s="14">
        <f>240*Z36+12*AA36+AB36</f>
        <v>0</v>
      </c>
      <c r="AD36" s="5">
        <f>AD34-AD35</f>
        <v>0</v>
      </c>
      <c r="AE36" s="5">
        <f t="shared" ref="AE36:AF36" si="86">AE34-AE35</f>
        <v>0</v>
      </c>
      <c r="AF36" s="5">
        <f t="shared" si="86"/>
        <v>0</v>
      </c>
      <c r="AG36" s="14">
        <f>240*AD36+12*AE36+AF36</f>
        <v>0</v>
      </c>
      <c r="AH36" s="5">
        <f>AH34-AH35</f>
        <v>0</v>
      </c>
      <c r="AI36" s="5">
        <f t="shared" ref="AI36:AJ36" si="87">AI34-AI35</f>
        <v>0</v>
      </c>
      <c r="AJ36" s="5">
        <f t="shared" si="87"/>
        <v>0</v>
      </c>
      <c r="AK36" s="14">
        <f>240*AH36+12*AI36+AJ36</f>
        <v>0</v>
      </c>
      <c r="AL36" s="5">
        <f>AL34-AL35</f>
        <v>0</v>
      </c>
      <c r="AM36" s="5">
        <f t="shared" ref="AM36:AN36" si="88">AM34-AM35</f>
        <v>0</v>
      </c>
      <c r="AN36" s="5">
        <f t="shared" si="88"/>
        <v>0</v>
      </c>
      <c r="AO36" s="14">
        <f>240*AL36+12*AM36+AN36</f>
        <v>0</v>
      </c>
      <c r="AP36" s="5">
        <f>AP34-AP35</f>
        <v>488</v>
      </c>
      <c r="AQ36" s="5">
        <f t="shared" ref="AQ36:AR36" si="89">AQ34-AQ35</f>
        <v>6</v>
      </c>
      <c r="AR36" s="5">
        <f t="shared" si="89"/>
        <v>8</v>
      </c>
      <c r="AS36" s="14">
        <f>240*AP36+12*AQ36+AR36</f>
        <v>117200</v>
      </c>
      <c r="AT36" s="5">
        <f>AT34-AT35</f>
        <v>775</v>
      </c>
      <c r="AU36" s="5">
        <f t="shared" ref="AU36" si="90">AU34-AU35</f>
        <v>-14</v>
      </c>
      <c r="AV36" s="5">
        <f t="shared" ref="AV36" si="91">AV34-AV35</f>
        <v>0</v>
      </c>
      <c r="AW36" s="14">
        <f>240*AT36+12*AU36+AV36</f>
        <v>185832</v>
      </c>
      <c r="AX36" s="5">
        <f>AX34-AX35</f>
        <v>535</v>
      </c>
      <c r="AY36" s="5">
        <f t="shared" ref="AY36" si="92">AY34-AY35</f>
        <v>0</v>
      </c>
      <c r="AZ36" s="5">
        <f t="shared" ref="AZ36" si="93">AZ34-AZ35</f>
        <v>0</v>
      </c>
      <c r="BA36" s="14">
        <f>240*AX36+12*AY36+AZ36</f>
        <v>128400</v>
      </c>
      <c r="BB36" s="5">
        <f>BB34-BB35</f>
        <v>1940</v>
      </c>
      <c r="BC36" s="5">
        <f t="shared" ref="BC36" si="94">BC34-BC35</f>
        <v>0</v>
      </c>
      <c r="BD36" s="5">
        <f t="shared" ref="BD36" si="95">BD34-BD35</f>
        <v>0</v>
      </c>
      <c r="BE36" s="14">
        <f>240*BB36+12*BC36+BD36</f>
        <v>465600</v>
      </c>
      <c r="BF36" s="5">
        <f>BF34-BF35</f>
        <v>1695</v>
      </c>
      <c r="BG36" s="5">
        <f t="shared" ref="BG36" si="96">BG34-BG35</f>
        <v>0</v>
      </c>
      <c r="BH36" s="5">
        <f t="shared" ref="BH36" si="97">BH34-BH35</f>
        <v>0</v>
      </c>
      <c r="BI36" s="14">
        <f>240*BF36+12*BG36+BH36</f>
        <v>406800</v>
      </c>
      <c r="BJ36" s="28">
        <f>BJ34-BJ35</f>
        <v>1095</v>
      </c>
      <c r="BK36" s="5">
        <f t="shared" ref="BK36" si="98">BK34-BK35</f>
        <v>14</v>
      </c>
      <c r="BL36" s="5">
        <f t="shared" ref="BL36" si="99">BL34-BL35</f>
        <v>9</v>
      </c>
      <c r="BM36" s="14">
        <f>240*BJ36+12*BK36+BL36</f>
        <v>262977</v>
      </c>
      <c r="BN36" s="28"/>
      <c r="BO36" s="5"/>
      <c r="BP36" s="5"/>
      <c r="BQ36" s="14"/>
      <c r="BR36" s="28"/>
      <c r="BS36" s="5"/>
      <c r="BT36" s="5"/>
      <c r="BU36" s="14"/>
      <c r="BV36" s="28"/>
      <c r="BW36" s="28"/>
      <c r="BX36" s="14"/>
      <c r="BY36" s="28"/>
      <c r="CA36" s="28"/>
      <c r="CC36" s="28"/>
      <c r="CE36" s="28"/>
      <c r="CG36" s="28"/>
    </row>
    <row r="37" spans="1:85" x14ac:dyDescent="0.25">
      <c r="A37" s="11" t="s">
        <v>12</v>
      </c>
      <c r="B37" s="5">
        <f>B33+B36</f>
        <v>0</v>
      </c>
      <c r="C37" s="5">
        <f t="shared" ref="C37:D37" si="100">C33+C36</f>
        <v>0</v>
      </c>
      <c r="D37" s="5">
        <f t="shared" si="100"/>
        <v>0</v>
      </c>
      <c r="E37" s="14">
        <f>240*B37+12*C37+D37</f>
        <v>0</v>
      </c>
      <c r="F37" s="5">
        <f>F33+F36</f>
        <v>508</v>
      </c>
      <c r="G37" s="5">
        <f t="shared" ref="G37:H37" si="101">G33+G36</f>
        <v>17</v>
      </c>
      <c r="H37" s="5">
        <f t="shared" si="101"/>
        <v>6</v>
      </c>
      <c r="I37" s="14">
        <f t="shared" si="79"/>
        <v>122130</v>
      </c>
      <c r="J37" s="5">
        <f>J33+J36</f>
        <v>602</v>
      </c>
      <c r="K37" s="5">
        <f t="shared" ref="K37:L37" si="102">K33+K36</f>
        <v>11</v>
      </c>
      <c r="L37" s="5">
        <f t="shared" si="102"/>
        <v>0</v>
      </c>
      <c r="M37" s="14">
        <f t="shared" si="81"/>
        <v>144612</v>
      </c>
      <c r="N37" s="5">
        <f>N33+N36</f>
        <v>287</v>
      </c>
      <c r="O37" s="5">
        <f t="shared" ref="O37:P37" si="103">O33+O36</f>
        <v>2</v>
      </c>
      <c r="P37" s="5">
        <f t="shared" si="103"/>
        <v>6</v>
      </c>
      <c r="Q37" s="14">
        <f>240*N37+12*O37+P37</f>
        <v>68910</v>
      </c>
      <c r="R37" s="5">
        <f>R33+R36</f>
        <v>287</v>
      </c>
      <c r="S37" s="5">
        <f t="shared" ref="S37:T37" si="104">S33+S36</f>
        <v>18</v>
      </c>
      <c r="T37" s="5">
        <f t="shared" si="104"/>
        <v>12</v>
      </c>
      <c r="U37" s="14">
        <f>240*R37+12*S37+T37</f>
        <v>69108</v>
      </c>
      <c r="V37" s="5">
        <f>V33+V36</f>
        <v>298</v>
      </c>
      <c r="W37" s="5">
        <f t="shared" ref="W37:X37" si="105">W33+W36</f>
        <v>9</v>
      </c>
      <c r="X37" s="5">
        <f t="shared" si="105"/>
        <v>3</v>
      </c>
      <c r="Y37" s="14">
        <f>240*V37+12*W37+X37</f>
        <v>71631</v>
      </c>
      <c r="Z37" s="5">
        <f>Z33+Z36</f>
        <v>380</v>
      </c>
      <c r="AA37" s="5">
        <f t="shared" ref="AA37:AB37" si="106">AA33+AA36</f>
        <v>8</v>
      </c>
      <c r="AB37" s="5">
        <f t="shared" si="106"/>
        <v>0</v>
      </c>
      <c r="AC37" s="14">
        <f>240*Z37+12*AA37+AB37</f>
        <v>91296</v>
      </c>
      <c r="AD37" s="5">
        <f>AD33+AD36</f>
        <v>622</v>
      </c>
      <c r="AE37" s="5">
        <f t="shared" ref="AE37:AF37" si="107">AE33+AE36</f>
        <v>19</v>
      </c>
      <c r="AF37" s="5">
        <f t="shared" si="107"/>
        <v>0</v>
      </c>
      <c r="AG37" s="14">
        <f>240*AD37+12*AE37+AF37</f>
        <v>149508</v>
      </c>
      <c r="AH37" s="5">
        <f>AH33+AH36</f>
        <v>789</v>
      </c>
      <c r="AI37" s="5">
        <f t="shared" ref="AI37:AJ37" si="108">AI33+AI36</f>
        <v>11</v>
      </c>
      <c r="AJ37" s="5">
        <f t="shared" si="108"/>
        <v>6</v>
      </c>
      <c r="AK37" s="14">
        <f>240*AH37+12*AI37+AJ37</f>
        <v>189498</v>
      </c>
      <c r="AL37" s="5">
        <f>AL33+AL36</f>
        <v>658</v>
      </c>
      <c r="AM37" s="5">
        <f t="shared" ref="AM37:AN37" si="109">AM33+AM36</f>
        <v>23</v>
      </c>
      <c r="AN37" s="5">
        <f t="shared" si="109"/>
        <v>6</v>
      </c>
      <c r="AO37" s="14">
        <f>240*AL37+12*AM37+AN37</f>
        <v>158202</v>
      </c>
      <c r="AP37" s="5">
        <f>AP33+AP36</f>
        <v>1196</v>
      </c>
      <c r="AQ37" s="5">
        <f t="shared" ref="AQ37:AR37" si="110">AQ33+AQ36</f>
        <v>12</v>
      </c>
      <c r="AR37" s="5">
        <f t="shared" si="110"/>
        <v>8</v>
      </c>
      <c r="AS37" s="14">
        <f>240*AP37+12*AQ37+AR37</f>
        <v>287192</v>
      </c>
      <c r="AT37" s="5">
        <f>AT33+AT36</f>
        <v>1762</v>
      </c>
      <c r="AU37" s="5">
        <f t="shared" ref="AU37" si="111">AU33+AU36</f>
        <v>-6</v>
      </c>
      <c r="AV37" s="5">
        <f t="shared" ref="AV37" si="112">AV33+AV36</f>
        <v>0</v>
      </c>
      <c r="AW37" s="14">
        <f>240*AT37+12*AU37+AV37</f>
        <v>422808</v>
      </c>
      <c r="AX37" s="5">
        <f>AX33+AX36</f>
        <v>1886</v>
      </c>
      <c r="AY37" s="5">
        <f t="shared" ref="AY37" si="113">AY33+AY36</f>
        <v>2</v>
      </c>
      <c r="AZ37" s="5">
        <f t="shared" ref="AZ37" si="114">AZ33+AZ36</f>
        <v>0</v>
      </c>
      <c r="BA37" s="14">
        <f>240*AX37+12*AY37+AZ37</f>
        <v>452664</v>
      </c>
      <c r="BB37" s="5">
        <f>BB33+BB36</f>
        <v>6943</v>
      </c>
      <c r="BC37" s="5">
        <f t="shared" ref="BC37" si="115">BC33+BC36</f>
        <v>-3</v>
      </c>
      <c r="BD37" s="5">
        <f t="shared" ref="BD37" si="116">BD33+BD36</f>
        <v>-9</v>
      </c>
      <c r="BE37" s="14">
        <f>240*BB37+12*BC37+BD37</f>
        <v>1666275</v>
      </c>
      <c r="BF37" s="5">
        <f>BF33+BF36</f>
        <v>7631</v>
      </c>
      <c r="BG37" s="5">
        <f t="shared" ref="BG37" si="117">BG33+BG36</f>
        <v>11</v>
      </c>
      <c r="BH37" s="5">
        <f t="shared" ref="BH37" si="118">BH33+BH36</f>
        <v>1</v>
      </c>
      <c r="BI37" s="14">
        <f>240*BF37+12*BG37+BH37</f>
        <v>1831573</v>
      </c>
      <c r="BJ37" s="28">
        <f>BJ33+BJ36</f>
        <v>17508</v>
      </c>
      <c r="BK37" s="5">
        <f t="shared" ref="BK37" si="119">BK33+BK36</f>
        <v>34</v>
      </c>
      <c r="BL37" s="5">
        <f t="shared" ref="BL37" si="120">BL33+BL36</f>
        <v>22</v>
      </c>
      <c r="BM37" s="14">
        <f>240*BJ37+12*BK37+BL37</f>
        <v>4202350</v>
      </c>
      <c r="BN37" s="28">
        <f>BN33+BN36</f>
        <v>79019</v>
      </c>
      <c r="BO37" s="5">
        <f t="shared" ref="BO37:BP37" si="121">BO33+BO36</f>
        <v>0</v>
      </c>
      <c r="BP37" s="5">
        <f t="shared" si="121"/>
        <v>0</v>
      </c>
      <c r="BQ37" s="14"/>
      <c r="BR37" s="28">
        <f>BR33+BR36</f>
        <v>203362</v>
      </c>
      <c r="BS37" s="5">
        <f t="shared" ref="BS37:BT37" si="122">BS33+BS36</f>
        <v>0</v>
      </c>
      <c r="BT37" s="5">
        <f t="shared" si="122"/>
        <v>0</v>
      </c>
      <c r="BU37" s="14"/>
      <c r="BV37" s="28">
        <f>BV33+BV36</f>
        <v>515999</v>
      </c>
      <c r="BW37" s="28">
        <f>BW33+BW36</f>
        <v>758122</v>
      </c>
      <c r="BX37" s="14"/>
      <c r="BY37" s="28">
        <f>BY33+BY36</f>
        <v>1284060</v>
      </c>
      <c r="CA37" s="28">
        <f>CA33+CA36</f>
        <v>1588000</v>
      </c>
      <c r="CC37" s="28">
        <f>CC33+CC36</f>
        <v>1773000</v>
      </c>
      <c r="CE37" s="28">
        <f>CE33+CE36</f>
        <v>2355000</v>
      </c>
      <c r="CG37" s="28">
        <f>CG33+CG36</f>
        <v>4406000</v>
      </c>
    </row>
    <row r="38" spans="1:85" x14ac:dyDescent="0.25">
      <c r="A38" s="11" t="s">
        <v>20</v>
      </c>
      <c r="B38" s="7"/>
      <c r="C38" s="7"/>
      <c r="D38" s="7"/>
      <c r="F38" s="7"/>
      <c r="G38" s="7"/>
      <c r="H38" s="7"/>
      <c r="J38" s="7"/>
      <c r="K38" s="7"/>
      <c r="L38" s="7"/>
      <c r="N38" s="7"/>
      <c r="O38" s="7"/>
      <c r="P38" s="7"/>
      <c r="R38" s="7"/>
      <c r="S38" s="7"/>
      <c r="T38" s="7"/>
      <c r="V38" s="7"/>
      <c r="W38" s="7"/>
      <c r="X38" s="7"/>
      <c r="Z38" s="7"/>
      <c r="AA38" s="7"/>
      <c r="AB38" s="7"/>
      <c r="AD38" s="7"/>
      <c r="AE38" s="7"/>
      <c r="AF38" s="7"/>
      <c r="AH38" s="7"/>
      <c r="AI38" s="7"/>
      <c r="AJ38" s="7"/>
      <c r="AL38" s="7"/>
      <c r="AM38" s="7"/>
      <c r="AN38" s="7"/>
      <c r="AP38" s="7"/>
      <c r="AQ38" s="7"/>
      <c r="AR38" s="7"/>
      <c r="AT38" s="7"/>
      <c r="AU38" s="7"/>
      <c r="AV38" s="7"/>
      <c r="AX38" s="7"/>
      <c r="AY38" s="7"/>
      <c r="AZ38" s="7"/>
      <c r="BB38" s="7"/>
      <c r="BC38" s="7"/>
      <c r="BD38" s="7"/>
      <c r="BF38" s="7"/>
      <c r="BG38" s="7"/>
      <c r="BH38" s="7"/>
      <c r="BJ38" s="14"/>
      <c r="BK38" s="7"/>
      <c r="BL38" s="7"/>
      <c r="BN38" s="14"/>
      <c r="BO38" s="7"/>
      <c r="BP38" s="7"/>
      <c r="BQ38" s="14"/>
      <c r="BR38" s="14"/>
      <c r="BS38" s="7"/>
      <c r="BT38" s="7"/>
      <c r="BU38" s="14"/>
      <c r="BV38" s="14"/>
      <c r="BW38" s="14"/>
      <c r="BX38" s="14"/>
      <c r="BY38" s="14"/>
      <c r="CA38" s="14"/>
      <c r="CC38" s="14"/>
      <c r="CE38" s="14"/>
      <c r="CG38" s="14"/>
    </row>
    <row r="39" spans="1:85" x14ac:dyDescent="0.25">
      <c r="A39" s="4" t="s">
        <v>27</v>
      </c>
      <c r="B39" s="4">
        <v>207</v>
      </c>
      <c r="C39" s="4">
        <v>9</v>
      </c>
      <c r="D39" s="4">
        <v>8</v>
      </c>
      <c r="F39" s="4">
        <v>2117</v>
      </c>
      <c r="G39" s="4">
        <v>19</v>
      </c>
      <c r="H39" s="4">
        <v>11</v>
      </c>
      <c r="J39" s="4">
        <v>1521</v>
      </c>
      <c r="K39" s="4">
        <v>2</v>
      </c>
      <c r="L39" s="4"/>
      <c r="N39" s="4">
        <v>619</v>
      </c>
      <c r="O39" s="4">
        <v>17</v>
      </c>
      <c r="P39" s="4">
        <v>5</v>
      </c>
      <c r="R39" s="4">
        <v>1036</v>
      </c>
      <c r="S39" s="4">
        <v>3</v>
      </c>
      <c r="T39" s="4"/>
      <c r="V39" s="4">
        <f>522+280+161+188+48</f>
        <v>1199</v>
      </c>
      <c r="W39" s="4">
        <f>4+14+1+2+7</f>
        <v>28</v>
      </c>
      <c r="X39" s="4">
        <f>6+4+6+0+11</f>
        <v>27</v>
      </c>
      <c r="Z39" s="4">
        <f>533+286+267+521+99</f>
        <v>1706</v>
      </c>
      <c r="AA39" s="4">
        <f>14+19+3+8+12</f>
        <v>56</v>
      </c>
      <c r="AB39" s="4">
        <f>10+1+1+9+3</f>
        <v>24</v>
      </c>
      <c r="AD39" s="4">
        <v>2036</v>
      </c>
      <c r="AE39" s="4">
        <v>14</v>
      </c>
      <c r="AF39" s="4">
        <v>6</v>
      </c>
      <c r="AH39" s="4">
        <v>2121</v>
      </c>
      <c r="AI39" s="4">
        <v>14</v>
      </c>
      <c r="AJ39" s="4">
        <v>7</v>
      </c>
      <c r="AL39" s="4">
        <v>2196</v>
      </c>
      <c r="AM39" s="4">
        <v>16</v>
      </c>
      <c r="AN39" s="4">
        <v>2</v>
      </c>
      <c r="AP39" s="4">
        <v>2016</v>
      </c>
      <c r="AQ39" s="4">
        <v>11</v>
      </c>
      <c r="AR39" s="4">
        <v>0</v>
      </c>
      <c r="AT39" s="4">
        <v>2563</v>
      </c>
      <c r="AU39" s="4">
        <v>4</v>
      </c>
      <c r="AV39" s="4">
        <v>0</v>
      </c>
      <c r="AX39" s="4">
        <v>6134</v>
      </c>
      <c r="AY39" s="4">
        <v>0</v>
      </c>
      <c r="AZ39" s="4">
        <v>9</v>
      </c>
      <c r="BB39" s="4">
        <f>2265+7019</f>
        <v>9284</v>
      </c>
      <c r="BC39" s="4">
        <v>19</v>
      </c>
      <c r="BD39" s="4">
        <v>8</v>
      </c>
      <c r="BF39" s="4">
        <f>1295+5114+107+231+230+290+886+3</f>
        <v>8156</v>
      </c>
      <c r="BG39" s="4">
        <v>5</v>
      </c>
      <c r="BH39" s="4">
        <v>8</v>
      </c>
      <c r="BJ39" s="29">
        <f>3709+11230+633+706+469+1</f>
        <v>16748</v>
      </c>
      <c r="BK39" s="4">
        <v>10</v>
      </c>
      <c r="BL39" s="4">
        <v>6</v>
      </c>
      <c r="BN39" s="29">
        <v>78033</v>
      </c>
      <c r="BO39" s="4"/>
      <c r="BP39" s="4"/>
      <c r="BQ39" s="14"/>
      <c r="BR39" s="29">
        <v>124783</v>
      </c>
      <c r="BS39" s="4"/>
      <c r="BT39" s="4"/>
      <c r="BU39" s="14"/>
      <c r="BV39" s="29">
        <v>384991</v>
      </c>
      <c r="BW39" s="29">
        <v>567587</v>
      </c>
      <c r="BX39" s="14"/>
      <c r="BY39" s="29">
        <v>709003</v>
      </c>
      <c r="BZ39" s="7" t="s">
        <v>97</v>
      </c>
      <c r="CA39" s="29">
        <v>691000</v>
      </c>
      <c r="CC39" s="29">
        <v>1532000</v>
      </c>
      <c r="CE39" s="29"/>
      <c r="CG39" s="29"/>
    </row>
    <row r="40" spans="1:85" x14ac:dyDescent="0.25">
      <c r="A40" s="4" t="s">
        <v>26</v>
      </c>
      <c r="B40" s="4"/>
      <c r="C40" s="4"/>
      <c r="D40" s="4"/>
      <c r="F40" s="4"/>
      <c r="G40" s="4"/>
      <c r="H40" s="4"/>
      <c r="J40" s="4"/>
      <c r="K40" s="4"/>
      <c r="L40" s="4"/>
      <c r="N40" s="4"/>
      <c r="O40" s="4"/>
      <c r="P40" s="4"/>
      <c r="R40" s="4"/>
      <c r="S40" s="4"/>
      <c r="T40" s="4"/>
      <c r="V40" s="4"/>
      <c r="W40" s="4"/>
      <c r="X40" s="4"/>
      <c r="Z40" s="4"/>
      <c r="AA40" s="4"/>
      <c r="AB40" s="4"/>
      <c r="AD40" s="4"/>
      <c r="AE40" s="4"/>
      <c r="AF40" s="4"/>
      <c r="AH40" s="4"/>
      <c r="AI40" s="4"/>
      <c r="AJ40" s="4"/>
      <c r="AL40" s="4"/>
      <c r="AM40" s="4"/>
      <c r="AN40" s="4"/>
      <c r="AP40" s="4"/>
      <c r="AQ40" s="4"/>
      <c r="AR40" s="4"/>
      <c r="AT40" s="4"/>
      <c r="AU40" s="4"/>
      <c r="AV40" s="4"/>
      <c r="AX40" s="4"/>
      <c r="AY40" s="4"/>
      <c r="AZ40" s="4"/>
      <c r="BB40" s="4"/>
      <c r="BC40" s="4"/>
      <c r="BD40" s="4"/>
      <c r="BF40" s="4">
        <v>1255</v>
      </c>
      <c r="BG40" s="4">
        <v>1</v>
      </c>
      <c r="BH40" s="4">
        <v>3</v>
      </c>
      <c r="BJ40" s="29">
        <v>2526</v>
      </c>
      <c r="BK40" s="4">
        <v>0</v>
      </c>
      <c r="BL40" s="4">
        <v>5</v>
      </c>
      <c r="BN40" s="29"/>
      <c r="BO40" s="4"/>
      <c r="BP40" s="4"/>
      <c r="BQ40" s="14"/>
      <c r="BR40" s="29"/>
      <c r="BS40" s="4"/>
      <c r="BT40" s="4"/>
      <c r="BU40" s="14"/>
      <c r="BV40" s="29"/>
      <c r="BW40" s="29"/>
      <c r="BX40" s="14"/>
      <c r="BY40" s="29">
        <v>274814</v>
      </c>
      <c r="CA40" s="29">
        <v>426000</v>
      </c>
      <c r="CC40" s="29"/>
      <c r="CE40" s="29"/>
      <c r="CG40" s="29"/>
    </row>
    <row r="41" spans="1:85" x14ac:dyDescent="0.25">
      <c r="A41" s="4" t="s">
        <v>98</v>
      </c>
      <c r="B41" s="4"/>
      <c r="C41" s="4"/>
      <c r="D41" s="4"/>
      <c r="F41" s="4"/>
      <c r="G41" s="4"/>
      <c r="H41" s="4"/>
      <c r="J41" s="4"/>
      <c r="K41" s="4"/>
      <c r="L41" s="4"/>
      <c r="N41" s="4"/>
      <c r="O41" s="4"/>
      <c r="P41" s="4"/>
      <c r="R41" s="4"/>
      <c r="S41" s="4"/>
      <c r="T41" s="4"/>
      <c r="V41" s="4"/>
      <c r="W41" s="4"/>
      <c r="X41" s="4"/>
      <c r="Z41" s="4"/>
      <c r="AA41" s="4"/>
      <c r="AB41" s="4"/>
      <c r="AD41" s="4"/>
      <c r="AE41" s="4"/>
      <c r="AF41" s="4"/>
      <c r="AH41" s="4"/>
      <c r="AI41" s="4"/>
      <c r="AJ41" s="4"/>
      <c r="AL41" s="4"/>
      <c r="AM41" s="4"/>
      <c r="AN41" s="4"/>
      <c r="AP41" s="4"/>
      <c r="AQ41" s="4"/>
      <c r="AR41" s="4"/>
      <c r="AT41" s="4"/>
      <c r="AU41" s="4"/>
      <c r="AV41" s="4"/>
      <c r="AX41" s="4"/>
      <c r="AY41" s="4"/>
      <c r="AZ41" s="4"/>
      <c r="BB41" s="4"/>
      <c r="BC41" s="4"/>
      <c r="BD41" s="4"/>
      <c r="BF41" s="4"/>
      <c r="BG41" s="4"/>
      <c r="BH41" s="4"/>
      <c r="BJ41" s="29"/>
      <c r="BK41" s="4"/>
      <c r="BL41" s="4"/>
      <c r="BN41" s="29"/>
      <c r="BO41" s="4"/>
      <c r="BP41" s="4"/>
      <c r="BQ41" s="14"/>
      <c r="BR41" s="29"/>
      <c r="BS41" s="4"/>
      <c r="BT41" s="4"/>
      <c r="BU41" s="14"/>
      <c r="BV41" s="29"/>
      <c r="BW41" s="29"/>
      <c r="BX41" s="14"/>
      <c r="BY41" s="29">
        <v>98070</v>
      </c>
      <c r="CA41" s="29"/>
      <c r="CC41" s="29"/>
      <c r="CE41" s="29"/>
      <c r="CG41" s="29"/>
    </row>
    <row r="42" spans="1:85" x14ac:dyDescent="0.25">
      <c r="A42" s="4" t="s">
        <v>109</v>
      </c>
      <c r="B42" s="4"/>
      <c r="C42" s="4"/>
      <c r="D42" s="4"/>
      <c r="F42" s="4"/>
      <c r="G42" s="4"/>
      <c r="H42" s="4"/>
      <c r="J42" s="4"/>
      <c r="K42" s="4"/>
      <c r="L42" s="4"/>
      <c r="N42" s="4"/>
      <c r="O42" s="4"/>
      <c r="P42" s="4"/>
      <c r="R42" s="4"/>
      <c r="S42" s="4"/>
      <c r="T42" s="4"/>
      <c r="V42" s="4"/>
      <c r="W42" s="4"/>
      <c r="X42" s="4"/>
      <c r="Z42" s="4"/>
      <c r="AA42" s="4"/>
      <c r="AB42" s="4"/>
      <c r="AD42" s="4"/>
      <c r="AE42" s="4"/>
      <c r="AF42" s="4"/>
      <c r="AH42" s="4"/>
      <c r="AI42" s="4"/>
      <c r="AJ42" s="4"/>
      <c r="AL42" s="4"/>
      <c r="AM42" s="4"/>
      <c r="AN42" s="4"/>
      <c r="AP42" s="4"/>
      <c r="AQ42" s="4"/>
      <c r="AR42" s="4"/>
      <c r="AT42" s="4"/>
      <c r="AU42" s="4"/>
      <c r="AV42" s="4"/>
      <c r="AX42" s="4"/>
      <c r="AY42" s="4"/>
      <c r="AZ42" s="4"/>
      <c r="BB42" s="4"/>
      <c r="BC42" s="4"/>
      <c r="BD42" s="4"/>
      <c r="BF42" s="4"/>
      <c r="BG42" s="4"/>
      <c r="BH42" s="4"/>
      <c r="BJ42" s="29"/>
      <c r="BK42" s="4"/>
      <c r="BL42" s="4"/>
      <c r="BN42" s="29"/>
      <c r="BO42" s="4"/>
      <c r="BP42" s="4"/>
      <c r="BQ42" s="14"/>
      <c r="BR42" s="29"/>
      <c r="BS42" s="4"/>
      <c r="BT42" s="4"/>
      <c r="BU42" s="14"/>
      <c r="BV42" s="29"/>
      <c r="BW42" s="29"/>
      <c r="BX42" s="14"/>
      <c r="BY42" s="29">
        <f>12428+35726</f>
        <v>48154</v>
      </c>
      <c r="BZ42" s="7" t="s">
        <v>110</v>
      </c>
      <c r="CA42" s="29"/>
      <c r="CC42" s="29"/>
      <c r="CE42" s="29"/>
      <c r="CG42" s="29"/>
    </row>
    <row r="43" spans="1:85" x14ac:dyDescent="0.25">
      <c r="A43" s="4" t="s">
        <v>99</v>
      </c>
      <c r="B43" s="4"/>
      <c r="C43" s="4"/>
      <c r="D43" s="4"/>
      <c r="F43" s="4"/>
      <c r="G43" s="4"/>
      <c r="H43" s="4"/>
      <c r="J43" s="4"/>
      <c r="K43" s="4"/>
      <c r="L43" s="4"/>
      <c r="N43" s="4"/>
      <c r="O43" s="4"/>
      <c r="P43" s="4"/>
      <c r="R43" s="4"/>
      <c r="S43" s="4"/>
      <c r="T43" s="4"/>
      <c r="V43" s="4"/>
      <c r="W43" s="4"/>
      <c r="X43" s="4"/>
      <c r="Z43" s="4"/>
      <c r="AA43" s="4"/>
      <c r="AB43" s="4"/>
      <c r="AD43" s="4"/>
      <c r="AE43" s="4"/>
      <c r="AF43" s="4"/>
      <c r="AH43" s="4"/>
      <c r="AI43" s="4"/>
      <c r="AJ43" s="4"/>
      <c r="AL43" s="4"/>
      <c r="AM43" s="4"/>
      <c r="AN43" s="4"/>
      <c r="AP43" s="4"/>
      <c r="AQ43" s="4"/>
      <c r="AR43" s="4"/>
      <c r="AT43" s="4"/>
      <c r="AU43" s="4"/>
      <c r="AV43" s="4"/>
      <c r="AX43" s="4"/>
      <c r="AY43" s="4"/>
      <c r="AZ43" s="4"/>
      <c r="BB43" s="4"/>
      <c r="BC43" s="4"/>
      <c r="BD43" s="4"/>
      <c r="BF43" s="4"/>
      <c r="BG43" s="4"/>
      <c r="BH43" s="4"/>
      <c r="BJ43" s="29"/>
      <c r="BK43" s="4"/>
      <c r="BL43" s="4"/>
      <c r="BN43" s="29"/>
      <c r="BO43" s="4"/>
      <c r="BP43" s="4"/>
      <c r="BQ43" s="14"/>
      <c r="BR43" s="29"/>
      <c r="BS43" s="4"/>
      <c r="BT43" s="4"/>
      <c r="BU43" s="14"/>
      <c r="BV43" s="29"/>
      <c r="BW43" s="29"/>
      <c r="BX43" s="14"/>
      <c r="BY43" s="29">
        <v>57000</v>
      </c>
      <c r="CA43" s="29"/>
      <c r="CC43" s="29"/>
      <c r="CE43" s="29"/>
      <c r="CG43" s="29"/>
    </row>
    <row r="44" spans="1:85" x14ac:dyDescent="0.25">
      <c r="A44" s="4" t="s">
        <v>100</v>
      </c>
      <c r="B44" s="4"/>
      <c r="C44" s="4"/>
      <c r="D44" s="4"/>
      <c r="F44" s="4"/>
      <c r="G44" s="4"/>
      <c r="H44" s="4"/>
      <c r="J44" s="4"/>
      <c r="K44" s="4"/>
      <c r="L44" s="4"/>
      <c r="N44" s="4"/>
      <c r="O44" s="4"/>
      <c r="P44" s="4"/>
      <c r="R44" s="4"/>
      <c r="S44" s="4"/>
      <c r="T44" s="4"/>
      <c r="V44" s="4"/>
      <c r="W44" s="4"/>
      <c r="X44" s="4"/>
      <c r="Z44" s="4"/>
      <c r="AA44" s="4"/>
      <c r="AB44" s="4"/>
      <c r="AD44" s="4"/>
      <c r="AE44" s="4"/>
      <c r="AF44" s="4"/>
      <c r="AH44" s="4"/>
      <c r="AI44" s="4"/>
      <c r="AJ44" s="4"/>
      <c r="AL44" s="4"/>
      <c r="AM44" s="4"/>
      <c r="AN44" s="4"/>
      <c r="AP44" s="4"/>
      <c r="AQ44" s="4"/>
      <c r="AR44" s="4"/>
      <c r="AT44" s="4"/>
      <c r="AU44" s="4"/>
      <c r="AV44" s="4"/>
      <c r="AX44" s="4"/>
      <c r="AY44" s="4"/>
      <c r="AZ44" s="4"/>
      <c r="BB44" s="4"/>
      <c r="BC44" s="4"/>
      <c r="BD44" s="4"/>
      <c r="BF44" s="4"/>
      <c r="BG44" s="4"/>
      <c r="BH44" s="4"/>
      <c r="BJ44" s="29"/>
      <c r="BK44" s="4"/>
      <c r="BL44" s="4"/>
      <c r="BN44" s="29"/>
      <c r="BO44" s="4"/>
      <c r="BP44" s="4"/>
      <c r="BQ44" s="14"/>
      <c r="BR44" s="29"/>
      <c r="BS44" s="4"/>
      <c r="BT44" s="4"/>
      <c r="BU44" s="14"/>
      <c r="BV44" s="29"/>
      <c r="BW44" s="29"/>
      <c r="BX44" s="14"/>
      <c r="BY44" s="29">
        <v>4840</v>
      </c>
      <c r="CA44" s="29"/>
      <c r="CC44" s="29"/>
      <c r="CE44" s="29"/>
      <c r="CG44" s="29"/>
    </row>
    <row r="45" spans="1:85" x14ac:dyDescent="0.25">
      <c r="A45" s="4" t="s">
        <v>101</v>
      </c>
      <c r="B45" s="4"/>
      <c r="C45" s="4"/>
      <c r="D45" s="4"/>
      <c r="F45" s="4"/>
      <c r="G45" s="4"/>
      <c r="H45" s="4"/>
      <c r="J45" s="4"/>
      <c r="K45" s="4"/>
      <c r="L45" s="4"/>
      <c r="N45" s="4"/>
      <c r="O45" s="4"/>
      <c r="P45" s="4"/>
      <c r="R45" s="4"/>
      <c r="S45" s="4"/>
      <c r="T45" s="4"/>
      <c r="V45" s="4"/>
      <c r="W45" s="4"/>
      <c r="X45" s="4"/>
      <c r="Z45" s="4"/>
      <c r="AA45" s="4"/>
      <c r="AB45" s="4"/>
      <c r="AD45" s="4"/>
      <c r="AE45" s="4"/>
      <c r="AF45" s="4"/>
      <c r="AH45" s="4"/>
      <c r="AI45" s="4"/>
      <c r="AJ45" s="4"/>
      <c r="AL45" s="4"/>
      <c r="AM45" s="4"/>
      <c r="AN45" s="4"/>
      <c r="AP45" s="4"/>
      <c r="AQ45" s="4"/>
      <c r="AR45" s="4"/>
      <c r="AT45" s="4"/>
      <c r="AU45" s="4"/>
      <c r="AV45" s="4"/>
      <c r="AX45" s="4"/>
      <c r="AY45" s="4"/>
      <c r="AZ45" s="4"/>
      <c r="BB45" s="4"/>
      <c r="BC45" s="4"/>
      <c r="BD45" s="4"/>
      <c r="BF45" s="4"/>
      <c r="BG45" s="4"/>
      <c r="BH45" s="4"/>
      <c r="BJ45" s="29"/>
      <c r="BK45" s="4"/>
      <c r="BL45" s="4"/>
      <c r="BN45" s="29"/>
      <c r="BO45" s="4"/>
      <c r="BP45" s="4"/>
      <c r="BQ45" s="14"/>
      <c r="BR45" s="29"/>
      <c r="BS45" s="4"/>
      <c r="BT45" s="4"/>
      <c r="BU45" s="14"/>
      <c r="BV45" s="29"/>
      <c r="BW45" s="29"/>
      <c r="BX45" s="14"/>
      <c r="BY45" s="29">
        <v>55204</v>
      </c>
      <c r="CA45" s="29">
        <v>188000</v>
      </c>
      <c r="CC45" s="29"/>
      <c r="CE45" s="29"/>
      <c r="CG45" s="29"/>
    </row>
    <row r="46" spans="1:85" x14ac:dyDescent="0.25">
      <c r="A46" s="4" t="s">
        <v>102</v>
      </c>
      <c r="B46" s="4"/>
      <c r="C46" s="4"/>
      <c r="D46" s="4"/>
      <c r="F46" s="4"/>
      <c r="G46" s="4"/>
      <c r="H46" s="4"/>
      <c r="J46" s="4"/>
      <c r="K46" s="4"/>
      <c r="L46" s="4"/>
      <c r="N46" s="4"/>
      <c r="O46" s="4"/>
      <c r="P46" s="4"/>
      <c r="R46" s="4"/>
      <c r="S46" s="4"/>
      <c r="T46" s="4"/>
      <c r="V46" s="4"/>
      <c r="W46" s="4"/>
      <c r="X46" s="4"/>
      <c r="Z46" s="4"/>
      <c r="AA46" s="4"/>
      <c r="AB46" s="4"/>
      <c r="AD46" s="4"/>
      <c r="AE46" s="4"/>
      <c r="AF46" s="4"/>
      <c r="AH46" s="4"/>
      <c r="AI46" s="4"/>
      <c r="AJ46" s="4"/>
      <c r="AL46" s="4"/>
      <c r="AM46" s="4"/>
      <c r="AN46" s="4"/>
      <c r="AP46" s="4"/>
      <c r="AQ46" s="4"/>
      <c r="AR46" s="4"/>
      <c r="AT46" s="4"/>
      <c r="AU46" s="4"/>
      <c r="AV46" s="4"/>
      <c r="AX46" s="4"/>
      <c r="AY46" s="4"/>
      <c r="AZ46" s="4"/>
      <c r="BB46" s="4"/>
      <c r="BC46" s="4"/>
      <c r="BD46" s="4"/>
      <c r="BF46" s="4">
        <v>10</v>
      </c>
      <c r="BG46" s="4">
        <v>9</v>
      </c>
      <c r="BH46" s="4">
        <v>0</v>
      </c>
      <c r="BJ46" s="29">
        <v>31</v>
      </c>
      <c r="BK46" s="4">
        <v>3</v>
      </c>
      <c r="BL46" s="4">
        <v>7</v>
      </c>
      <c r="BN46" s="29"/>
      <c r="BO46" s="4"/>
      <c r="BP46" s="4"/>
      <c r="BQ46" s="14"/>
      <c r="BR46" s="29"/>
      <c r="BS46" s="4"/>
      <c r="BT46" s="4"/>
      <c r="BU46" s="14"/>
      <c r="BV46" s="29"/>
      <c r="BW46" s="29"/>
      <c r="BX46" s="14"/>
      <c r="BY46" s="29">
        <f>-34814+2604</f>
        <v>-32210</v>
      </c>
      <c r="CA46" s="29"/>
      <c r="CC46" s="29"/>
      <c r="CE46" s="29"/>
      <c r="CG46" s="29"/>
    </row>
    <row r="47" spans="1:85" x14ac:dyDescent="0.25">
      <c r="A47" s="11" t="s">
        <v>37</v>
      </c>
      <c r="B47" s="5">
        <f>SUM(B39:B46)</f>
        <v>207</v>
      </c>
      <c r="C47" s="5">
        <f t="shared" ref="C47:D47" si="123">SUM(C39:C46)</f>
        <v>9</v>
      </c>
      <c r="D47" s="5">
        <f t="shared" si="123"/>
        <v>8</v>
      </c>
      <c r="E47" s="14">
        <f>240*B47+12*C47+D47</f>
        <v>49796</v>
      </c>
      <c r="F47" s="5">
        <f>SUM(F39:F46)</f>
        <v>2117</v>
      </c>
      <c r="G47" s="5">
        <f t="shared" ref="G47:H47" si="124">SUM(G39:G46)</f>
        <v>19</v>
      </c>
      <c r="H47" s="5">
        <f t="shared" si="124"/>
        <v>11</v>
      </c>
      <c r="I47" s="14">
        <f t="shared" ref="I47:I49" si="125">240*F47+12*G47+H47</f>
        <v>508319</v>
      </c>
      <c r="J47" s="5">
        <f>SUM(J39:J46)</f>
        <v>1521</v>
      </c>
      <c r="K47" s="5">
        <f t="shared" ref="K47:L47" si="126">SUM(K39:K46)</f>
        <v>2</v>
      </c>
      <c r="L47" s="5">
        <f t="shared" si="126"/>
        <v>0</v>
      </c>
      <c r="M47" s="14">
        <f t="shared" ref="M47:M49" si="127">240*J47+12*K47+L47</f>
        <v>365064</v>
      </c>
      <c r="N47" s="5">
        <f>SUM(N39:N46)</f>
        <v>619</v>
      </c>
      <c r="O47" s="5">
        <f t="shared" ref="O47:P47" si="128">SUM(O39:O46)</f>
        <v>17</v>
      </c>
      <c r="P47" s="5">
        <f t="shared" si="128"/>
        <v>5</v>
      </c>
      <c r="Q47" s="14">
        <f>240*N47+12*O47+P47</f>
        <v>148769</v>
      </c>
      <c r="R47" s="5">
        <f>SUM(R39:R46)</f>
        <v>1036</v>
      </c>
      <c r="S47" s="5">
        <f t="shared" ref="S47:T47" si="129">SUM(S39:S46)</f>
        <v>3</v>
      </c>
      <c r="T47" s="5">
        <f t="shared" si="129"/>
        <v>0</v>
      </c>
      <c r="U47" s="14">
        <f>240*R47+12*S47+T47</f>
        <v>248676</v>
      </c>
      <c r="V47" s="5">
        <f>SUM(V39:V46)</f>
        <v>1199</v>
      </c>
      <c r="W47" s="5">
        <f t="shared" ref="W47:X47" si="130">SUM(W39:W46)</f>
        <v>28</v>
      </c>
      <c r="X47" s="5">
        <f t="shared" si="130"/>
        <v>27</v>
      </c>
      <c r="Y47" s="14">
        <f>240*V47+12*W47+X47</f>
        <v>288123</v>
      </c>
      <c r="Z47" s="5">
        <f>SUM(Z39:Z46)</f>
        <v>1706</v>
      </c>
      <c r="AA47" s="5">
        <f t="shared" ref="AA47:AB47" si="131">SUM(AA39:AA46)</f>
        <v>56</v>
      </c>
      <c r="AB47" s="5">
        <f t="shared" si="131"/>
        <v>24</v>
      </c>
      <c r="AC47" s="14">
        <f>240*Z47+12*AA47+AB47</f>
        <v>410136</v>
      </c>
      <c r="AD47" s="5">
        <f>SUM(AD39:AD46)</f>
        <v>2036</v>
      </c>
      <c r="AE47" s="5">
        <f t="shared" ref="AE47:AF47" si="132">SUM(AE39:AE46)</f>
        <v>14</v>
      </c>
      <c r="AF47" s="5">
        <f t="shared" si="132"/>
        <v>6</v>
      </c>
      <c r="AG47" s="14">
        <f>240*AD47+12*AE47+AF47</f>
        <v>488814</v>
      </c>
      <c r="AH47" s="5">
        <f>SUM(AH39:AH46)</f>
        <v>2121</v>
      </c>
      <c r="AI47" s="5">
        <f t="shared" ref="AI47:AJ47" si="133">SUM(AI39:AI46)</f>
        <v>14</v>
      </c>
      <c r="AJ47" s="5">
        <f t="shared" si="133"/>
        <v>7</v>
      </c>
      <c r="AK47" s="14">
        <f>240*AH47+12*AI47+AJ47</f>
        <v>509215</v>
      </c>
      <c r="AL47" s="5">
        <f>SUM(AL39:AL46)</f>
        <v>2196</v>
      </c>
      <c r="AM47" s="5">
        <f t="shared" ref="AM47:AN47" si="134">SUM(AM39:AM46)</f>
        <v>16</v>
      </c>
      <c r="AN47" s="5">
        <f t="shared" si="134"/>
        <v>2</v>
      </c>
      <c r="AO47" s="14">
        <f>240*AL47+12*AM47+AN47</f>
        <v>527234</v>
      </c>
      <c r="AP47" s="5">
        <f>SUM(AP39:AP46)</f>
        <v>2016</v>
      </c>
      <c r="AQ47" s="5">
        <f t="shared" ref="AQ47:AR47" si="135">SUM(AQ39:AQ46)</f>
        <v>11</v>
      </c>
      <c r="AR47" s="5">
        <f t="shared" si="135"/>
        <v>0</v>
      </c>
      <c r="AS47" s="14">
        <f>240*AP47+12*AQ47+AR47</f>
        <v>483972</v>
      </c>
      <c r="AT47" s="5">
        <f>SUM(AT39:AT46)</f>
        <v>2563</v>
      </c>
      <c r="AU47" s="5">
        <f t="shared" ref="AU47" si="136">SUM(AU39:AU46)</f>
        <v>4</v>
      </c>
      <c r="AV47" s="5">
        <f t="shared" ref="AV47" si="137">SUM(AV39:AV46)</f>
        <v>0</v>
      </c>
      <c r="AW47" s="14">
        <f>240*AT47+12*AU47+AV47</f>
        <v>615168</v>
      </c>
      <c r="AX47" s="5">
        <f>SUM(AX39:AX46)</f>
        <v>6134</v>
      </c>
      <c r="AY47" s="5">
        <f t="shared" ref="AY47" si="138">SUM(AY39:AY46)</f>
        <v>0</v>
      </c>
      <c r="AZ47" s="5">
        <f t="shared" ref="AZ47" si="139">SUM(AZ39:AZ46)</f>
        <v>9</v>
      </c>
      <c r="BA47" s="14">
        <f>240*AX47+12*AY47+AZ47</f>
        <v>1472169</v>
      </c>
      <c r="BB47" s="5">
        <f>SUM(BB39:BB46)</f>
        <v>9284</v>
      </c>
      <c r="BC47" s="5">
        <f t="shared" ref="BC47" si="140">SUM(BC39:BC46)</f>
        <v>19</v>
      </c>
      <c r="BD47" s="5">
        <f t="shared" ref="BD47" si="141">SUM(BD39:BD46)</f>
        <v>8</v>
      </c>
      <c r="BE47" s="14">
        <f>240*BB47+12*BC47+BD47</f>
        <v>2228396</v>
      </c>
      <c r="BF47" s="5">
        <f>SUM(BF39:BF46)</f>
        <v>9421</v>
      </c>
      <c r="BG47" s="5">
        <f t="shared" ref="BG47" si="142">SUM(BG39:BG46)</f>
        <v>15</v>
      </c>
      <c r="BH47" s="5">
        <f t="shared" ref="BH47" si="143">SUM(BH39:BH46)</f>
        <v>11</v>
      </c>
      <c r="BI47" s="14">
        <f>240*BF47+12*BG47+BH47</f>
        <v>2261231</v>
      </c>
      <c r="BJ47" s="28">
        <f>SUM(BJ39:BJ46)</f>
        <v>19305</v>
      </c>
      <c r="BK47" s="5">
        <f t="shared" ref="BK47" si="144">SUM(BK39:BK46)</f>
        <v>13</v>
      </c>
      <c r="BL47" s="5">
        <f t="shared" ref="BL47" si="145">SUM(BL39:BL46)</f>
        <v>18</v>
      </c>
      <c r="BM47" s="14">
        <f>240*BJ47+12*BK47+BL47</f>
        <v>4633374</v>
      </c>
      <c r="BN47" s="28">
        <f>SUM(BN39:BN46)</f>
        <v>78033</v>
      </c>
      <c r="BO47" s="5">
        <f t="shared" ref="BO47:BP47" si="146">SUM(BO39:BO46)</f>
        <v>0</v>
      </c>
      <c r="BP47" s="5">
        <f t="shared" si="146"/>
        <v>0</v>
      </c>
      <c r="BQ47" s="14"/>
      <c r="BR47" s="28">
        <f>SUM(BR39:BR46)</f>
        <v>124783</v>
      </c>
      <c r="BS47" s="5">
        <f t="shared" ref="BS47:BT47" si="147">SUM(BS39:BS46)</f>
        <v>0</v>
      </c>
      <c r="BT47" s="5">
        <f t="shared" si="147"/>
        <v>0</v>
      </c>
      <c r="BU47" s="14"/>
      <c r="BV47" s="28">
        <f>SUM(BV39:BV46)</f>
        <v>384991</v>
      </c>
      <c r="BW47" s="28">
        <f>SUM(BW39:BW46)</f>
        <v>567587</v>
      </c>
      <c r="BX47" s="14"/>
      <c r="BY47" s="28">
        <f>SUM(BY39:BY46)</f>
        <v>1214875</v>
      </c>
      <c r="CA47" s="28">
        <f>SUM(CA39:CA46)</f>
        <v>1305000</v>
      </c>
      <c r="CC47" s="28">
        <f>SUM(CC39:CC46)</f>
        <v>1532000</v>
      </c>
      <c r="CE47" s="28">
        <v>1823000</v>
      </c>
      <c r="CG47" s="28">
        <v>2984000</v>
      </c>
    </row>
    <row r="48" spans="1:85" x14ac:dyDescent="0.25">
      <c r="A48" s="12" t="s">
        <v>38</v>
      </c>
      <c r="B48" s="10">
        <f>B33-B47</f>
        <v>-207</v>
      </c>
      <c r="C48" s="10">
        <f t="shared" ref="C48:D48" si="148">C33-C47</f>
        <v>-9</v>
      </c>
      <c r="D48" s="10">
        <f t="shared" si="148"/>
        <v>-8</v>
      </c>
      <c r="E48" s="14">
        <f>240*B48+12*C48+D48</f>
        <v>-49796</v>
      </c>
      <c r="F48" s="10">
        <f>F33-F47</f>
        <v>-1609</v>
      </c>
      <c r="G48" s="10">
        <f t="shared" ref="G48:H48" si="149">G33-G47</f>
        <v>-2</v>
      </c>
      <c r="H48" s="10">
        <f t="shared" si="149"/>
        <v>-5</v>
      </c>
      <c r="I48" s="14">
        <f t="shared" si="125"/>
        <v>-386189</v>
      </c>
      <c r="J48" s="10">
        <f>J33-J47</f>
        <v>-919</v>
      </c>
      <c r="K48" s="10">
        <f t="shared" ref="K48:L48" si="150">K33-K47</f>
        <v>9</v>
      </c>
      <c r="L48" s="10">
        <f t="shared" si="150"/>
        <v>0</v>
      </c>
      <c r="M48" s="14">
        <f t="shared" si="127"/>
        <v>-220452</v>
      </c>
      <c r="N48" s="10">
        <f>N33-N47</f>
        <v>-332</v>
      </c>
      <c r="O48" s="10">
        <f t="shared" ref="O48:P48" si="151">O33-O47</f>
        <v>-15</v>
      </c>
      <c r="P48" s="10">
        <f t="shared" si="151"/>
        <v>1</v>
      </c>
      <c r="Q48" s="14">
        <f>240*N48+12*O48+P48</f>
        <v>-79859</v>
      </c>
      <c r="R48" s="10">
        <f>R33-R47</f>
        <v>-749</v>
      </c>
      <c r="S48" s="10">
        <f t="shared" ref="S48:T48" si="152">S33-S47</f>
        <v>15</v>
      </c>
      <c r="T48" s="10">
        <f t="shared" si="152"/>
        <v>12</v>
      </c>
      <c r="U48" s="14">
        <f>240*R48+12*S48+T48</f>
        <v>-179568</v>
      </c>
      <c r="V48" s="10">
        <f>V33-V47</f>
        <v>-901</v>
      </c>
      <c r="W48" s="10">
        <f t="shared" ref="W48:X48" si="153">W33-W47</f>
        <v>-19</v>
      </c>
      <c r="X48" s="10">
        <f t="shared" si="153"/>
        <v>-24</v>
      </c>
      <c r="Y48" s="14">
        <f>240*V48+12*W48+X48</f>
        <v>-216492</v>
      </c>
      <c r="Z48" s="10">
        <f>Z33-Z47</f>
        <v>-1326</v>
      </c>
      <c r="AA48" s="10">
        <f t="shared" ref="AA48:AB48" si="154">AA33-AA47</f>
        <v>-48</v>
      </c>
      <c r="AB48" s="10">
        <f t="shared" si="154"/>
        <v>-24</v>
      </c>
      <c r="AC48" s="14">
        <f>240*Z48+12*AA48+AB48</f>
        <v>-318840</v>
      </c>
      <c r="AD48" s="10">
        <f>AD33-AD47</f>
        <v>-1414</v>
      </c>
      <c r="AE48" s="10">
        <f t="shared" ref="AE48:AF48" si="155">AE33-AE47</f>
        <v>5</v>
      </c>
      <c r="AF48" s="10">
        <f t="shared" si="155"/>
        <v>-6</v>
      </c>
      <c r="AG48" s="14">
        <f>240*AD48+12*AE48+AF48</f>
        <v>-339306</v>
      </c>
      <c r="AH48" s="10">
        <f>AH33-AH47</f>
        <v>-1332</v>
      </c>
      <c r="AI48" s="10">
        <f t="shared" ref="AI48:AJ48" si="156">AI33-AI47</f>
        <v>-3</v>
      </c>
      <c r="AJ48" s="10">
        <f t="shared" si="156"/>
        <v>-1</v>
      </c>
      <c r="AK48" s="14">
        <f>240*AH48+12*AI48+AJ48</f>
        <v>-319717</v>
      </c>
      <c r="AL48" s="10">
        <f>AL33-AL47</f>
        <v>-1538</v>
      </c>
      <c r="AM48" s="10">
        <f t="shared" ref="AM48:AN48" si="157">AM33-AM47</f>
        <v>7</v>
      </c>
      <c r="AN48" s="10">
        <f t="shared" si="157"/>
        <v>4</v>
      </c>
      <c r="AO48" s="14">
        <f>240*AL48+12*AM48+AN48</f>
        <v>-369032</v>
      </c>
      <c r="AP48" s="10">
        <f>AP33-AP47</f>
        <v>-1308</v>
      </c>
      <c r="AQ48" s="10">
        <f t="shared" ref="AQ48:AR48" si="158">AQ33-AQ47</f>
        <v>-5</v>
      </c>
      <c r="AR48" s="10">
        <f t="shared" si="158"/>
        <v>0</v>
      </c>
      <c r="AS48" s="14">
        <f>240*AP48+12*AQ48+AR48</f>
        <v>-313980</v>
      </c>
      <c r="AT48" s="10">
        <f>AT33-AT47</f>
        <v>-1576</v>
      </c>
      <c r="AU48" s="10">
        <f t="shared" ref="AU48" si="159">AU33-AU47</f>
        <v>4</v>
      </c>
      <c r="AV48" s="10">
        <f t="shared" ref="AV48" si="160">AV33-AV47</f>
        <v>0</v>
      </c>
      <c r="AW48" s="14">
        <f>240*AT48+12*AU48+AV48</f>
        <v>-378192</v>
      </c>
      <c r="AX48" s="10">
        <f>AX33-AX47</f>
        <v>-4783</v>
      </c>
      <c r="AY48" s="10">
        <f t="shared" ref="AY48" si="161">AY33-AY47</f>
        <v>2</v>
      </c>
      <c r="AZ48" s="10">
        <f t="shared" ref="AZ48" si="162">AZ33-AZ47</f>
        <v>-9</v>
      </c>
      <c r="BA48" s="14">
        <f>240*AX48+12*AY48+AZ48</f>
        <v>-1147905</v>
      </c>
      <c r="BB48" s="10">
        <f>BB33-BB47</f>
        <v>-4281</v>
      </c>
      <c r="BC48" s="10">
        <f t="shared" ref="BC48" si="163">BC33-BC47</f>
        <v>-22</v>
      </c>
      <c r="BD48" s="10">
        <f t="shared" ref="BD48" si="164">BD33-BD47</f>
        <v>-17</v>
      </c>
      <c r="BE48" s="14">
        <f>240*BB48+12*BC48+BD48</f>
        <v>-1027721</v>
      </c>
      <c r="BF48" s="10">
        <f>BF33-BF47</f>
        <v>-3485</v>
      </c>
      <c r="BG48" s="10">
        <f t="shared" ref="BG48" si="165">BG33-BG47</f>
        <v>-4</v>
      </c>
      <c r="BH48" s="10">
        <f t="shared" ref="BH48" si="166">BH33-BH47</f>
        <v>-10</v>
      </c>
      <c r="BI48" s="14">
        <f>240*BF48+12*BG48+BH48</f>
        <v>-836458</v>
      </c>
      <c r="BJ48" s="22">
        <f>BJ33-BJ47</f>
        <v>-2892</v>
      </c>
      <c r="BK48" s="10">
        <f t="shared" ref="BK48" si="167">BK33-BK47</f>
        <v>7</v>
      </c>
      <c r="BL48" s="10">
        <f t="shared" ref="BL48" si="168">BL33-BL47</f>
        <v>-5</v>
      </c>
      <c r="BM48" s="14">
        <f>240*BJ48+12*BK48+BL48</f>
        <v>-694001</v>
      </c>
      <c r="BN48" s="22">
        <f>BN33-BN47</f>
        <v>986</v>
      </c>
      <c r="BO48" s="10">
        <f t="shared" ref="BO48:BP48" si="169">BO33-BO47</f>
        <v>0</v>
      </c>
      <c r="BP48" s="10">
        <f t="shared" si="169"/>
        <v>0</v>
      </c>
      <c r="BQ48" s="14"/>
      <c r="BR48" s="22">
        <f>BR33-BR47</f>
        <v>78579</v>
      </c>
      <c r="BS48" s="10">
        <f t="shared" ref="BS48:BT48" si="170">BS33-BS47</f>
        <v>0</v>
      </c>
      <c r="BT48" s="10">
        <f t="shared" si="170"/>
        <v>0</v>
      </c>
      <c r="BU48" s="14"/>
      <c r="BV48" s="22">
        <f>BV33-BV47</f>
        <v>131008</v>
      </c>
      <c r="BW48" s="22">
        <f>BW33-BW47</f>
        <v>190535</v>
      </c>
      <c r="BX48" s="14"/>
      <c r="BY48" s="22">
        <f>BY33-BY47</f>
        <v>69185</v>
      </c>
      <c r="CA48" s="22">
        <f>CA33-CA47</f>
        <v>283000</v>
      </c>
      <c r="CC48" s="22">
        <f>CC33-CC47</f>
        <v>241000</v>
      </c>
      <c r="CE48" s="22">
        <f>CE33-CE47</f>
        <v>532000</v>
      </c>
      <c r="CG48" s="22">
        <f>CG33-CG47</f>
        <v>1422000</v>
      </c>
    </row>
    <row r="49" spans="1:85" x14ac:dyDescent="0.25">
      <c r="A49" s="12" t="s">
        <v>39</v>
      </c>
      <c r="B49" s="10">
        <f>B37-B47</f>
        <v>-207</v>
      </c>
      <c r="C49" s="10">
        <f t="shared" ref="C49:D49" si="171">C37-C47</f>
        <v>-9</v>
      </c>
      <c r="D49" s="10">
        <f t="shared" si="171"/>
        <v>-8</v>
      </c>
      <c r="E49" s="14">
        <f>240*B49+12*C49+D49</f>
        <v>-49796</v>
      </c>
      <c r="F49" s="10">
        <f>F37-F47</f>
        <v>-1609</v>
      </c>
      <c r="G49" s="10">
        <f t="shared" ref="G49:H49" si="172">G37-G47</f>
        <v>-2</v>
      </c>
      <c r="H49" s="10">
        <f t="shared" si="172"/>
        <v>-5</v>
      </c>
      <c r="I49" s="14">
        <f t="shared" si="125"/>
        <v>-386189</v>
      </c>
      <c r="J49" s="10">
        <f>J37-J47</f>
        <v>-919</v>
      </c>
      <c r="K49" s="10">
        <f t="shared" ref="K49:L49" si="173">K37-K47</f>
        <v>9</v>
      </c>
      <c r="L49" s="10">
        <f t="shared" si="173"/>
        <v>0</v>
      </c>
      <c r="M49" s="14">
        <f t="shared" si="127"/>
        <v>-220452</v>
      </c>
      <c r="N49" s="10">
        <f>N37-N47</f>
        <v>-332</v>
      </c>
      <c r="O49" s="10">
        <f t="shared" ref="O49:P49" si="174">O37-O47</f>
        <v>-15</v>
      </c>
      <c r="P49" s="10">
        <f t="shared" si="174"/>
        <v>1</v>
      </c>
      <c r="Q49" s="14">
        <f>240*N49+12*O49+P49</f>
        <v>-79859</v>
      </c>
      <c r="R49" s="10">
        <f>R37-R47</f>
        <v>-749</v>
      </c>
      <c r="S49" s="10">
        <f t="shared" ref="S49:T49" si="175">S37-S47</f>
        <v>15</v>
      </c>
      <c r="T49" s="10">
        <f t="shared" si="175"/>
        <v>12</v>
      </c>
      <c r="U49" s="14">
        <f>240*R49+12*S49+T49</f>
        <v>-179568</v>
      </c>
      <c r="V49" s="10">
        <f>V37-V47</f>
        <v>-901</v>
      </c>
      <c r="W49" s="10">
        <f t="shared" ref="W49:X49" si="176">W37-W47</f>
        <v>-19</v>
      </c>
      <c r="X49" s="10">
        <f t="shared" si="176"/>
        <v>-24</v>
      </c>
      <c r="Y49" s="14">
        <f>240*V49+12*W49+X49</f>
        <v>-216492</v>
      </c>
      <c r="Z49" s="10">
        <f>Z37-Z47</f>
        <v>-1326</v>
      </c>
      <c r="AA49" s="10">
        <f t="shared" ref="AA49:AB49" si="177">AA37-AA47</f>
        <v>-48</v>
      </c>
      <c r="AB49" s="10">
        <f t="shared" si="177"/>
        <v>-24</v>
      </c>
      <c r="AC49" s="14">
        <f>240*Z49+12*AA49+AB49</f>
        <v>-318840</v>
      </c>
      <c r="AD49" s="10">
        <f>AD37-AD47</f>
        <v>-1414</v>
      </c>
      <c r="AE49" s="10">
        <f t="shared" ref="AE49:AF49" si="178">AE37-AE47</f>
        <v>5</v>
      </c>
      <c r="AF49" s="10">
        <f t="shared" si="178"/>
        <v>-6</v>
      </c>
      <c r="AG49" s="14">
        <f>240*AD49+12*AE49+AF49</f>
        <v>-339306</v>
      </c>
      <c r="AH49" s="10">
        <f>AH37-AH47</f>
        <v>-1332</v>
      </c>
      <c r="AI49" s="10">
        <f t="shared" ref="AI49:AJ49" si="179">AI37-AI47</f>
        <v>-3</v>
      </c>
      <c r="AJ49" s="10">
        <f t="shared" si="179"/>
        <v>-1</v>
      </c>
      <c r="AK49" s="14">
        <f>240*AH49+12*AI49+AJ49</f>
        <v>-319717</v>
      </c>
      <c r="AL49" s="10">
        <f>AL37-AL47</f>
        <v>-1538</v>
      </c>
      <c r="AM49" s="10">
        <f t="shared" ref="AM49:AN49" si="180">AM37-AM47</f>
        <v>7</v>
      </c>
      <c r="AN49" s="10">
        <f t="shared" si="180"/>
        <v>4</v>
      </c>
      <c r="AO49" s="14">
        <f>240*AL49+12*AM49+AN49</f>
        <v>-369032</v>
      </c>
      <c r="AP49" s="10">
        <f>AP37-AP47</f>
        <v>-820</v>
      </c>
      <c r="AQ49" s="10">
        <f t="shared" ref="AQ49:AR49" si="181">AQ37-AQ47</f>
        <v>1</v>
      </c>
      <c r="AR49" s="10">
        <f t="shared" si="181"/>
        <v>8</v>
      </c>
      <c r="AS49" s="14">
        <f>240*AP49+12*AQ49+AR49</f>
        <v>-196780</v>
      </c>
      <c r="AT49" s="10">
        <f>AT37-AT47</f>
        <v>-801</v>
      </c>
      <c r="AU49" s="10">
        <f t="shared" ref="AU49:AV49" si="182">AU37-AU47</f>
        <v>-10</v>
      </c>
      <c r="AV49" s="10">
        <f t="shared" si="182"/>
        <v>0</v>
      </c>
      <c r="AW49" s="14">
        <f>240*AT49+12*AU49+AV49</f>
        <v>-192360</v>
      </c>
      <c r="AX49" s="10">
        <f>AX37-AX47</f>
        <v>-4248</v>
      </c>
      <c r="AY49" s="10">
        <f t="shared" ref="AY49:AZ49" si="183">AY37-AY47</f>
        <v>2</v>
      </c>
      <c r="AZ49" s="10">
        <f t="shared" si="183"/>
        <v>-9</v>
      </c>
      <c r="BA49" s="14">
        <f>240*AX49+12*AY49+AZ49</f>
        <v>-1019505</v>
      </c>
      <c r="BB49" s="10">
        <f>BB37-BB47</f>
        <v>-2341</v>
      </c>
      <c r="BC49" s="10">
        <f t="shared" ref="BC49:BD49" si="184">BC37-BC47</f>
        <v>-22</v>
      </c>
      <c r="BD49" s="10">
        <f t="shared" si="184"/>
        <v>-17</v>
      </c>
      <c r="BE49" s="14">
        <f>240*BB49+12*BC49+BD49</f>
        <v>-562121</v>
      </c>
      <c r="BF49" s="10">
        <f>BF37-BF47</f>
        <v>-1790</v>
      </c>
      <c r="BG49" s="10">
        <f t="shared" ref="BG49:BH49" si="185">BG37-BG47</f>
        <v>-4</v>
      </c>
      <c r="BH49" s="10">
        <f t="shared" si="185"/>
        <v>-10</v>
      </c>
      <c r="BI49" s="14">
        <f>240*BF49+12*BG49+BH49</f>
        <v>-429658</v>
      </c>
      <c r="BJ49" s="22">
        <f>BJ37-BJ47</f>
        <v>-1797</v>
      </c>
      <c r="BK49" s="10">
        <f t="shared" ref="BK49:BL49" si="186">BK37-BK47</f>
        <v>21</v>
      </c>
      <c r="BL49" s="10">
        <f t="shared" si="186"/>
        <v>4</v>
      </c>
      <c r="BM49" s="14">
        <f>240*BJ49+12*BK49+BL49</f>
        <v>-431024</v>
      </c>
      <c r="BN49" s="22">
        <f>BN37-BN47</f>
        <v>986</v>
      </c>
      <c r="BO49" s="10">
        <f t="shared" ref="BO49:BP49" si="187">BO37-BO47</f>
        <v>0</v>
      </c>
      <c r="BP49" s="10">
        <f t="shared" si="187"/>
        <v>0</v>
      </c>
      <c r="BQ49" s="14"/>
      <c r="BR49" s="22">
        <f>BR37-BR47</f>
        <v>78579</v>
      </c>
      <c r="BS49" s="10">
        <f t="shared" ref="BS49:BT49" si="188">BS37-BS47</f>
        <v>0</v>
      </c>
      <c r="BT49" s="10">
        <f t="shared" si="188"/>
        <v>0</v>
      </c>
      <c r="BU49" s="14"/>
      <c r="BV49" s="22">
        <f>BV37-BV47</f>
        <v>131008</v>
      </c>
      <c r="BW49" s="22">
        <f>BW37-BW47</f>
        <v>190535</v>
      </c>
      <c r="BX49" s="14"/>
      <c r="BY49" s="22">
        <f>BY37-BY47</f>
        <v>69185</v>
      </c>
      <c r="CA49" s="22">
        <f>CA37-CA47</f>
        <v>283000</v>
      </c>
      <c r="CC49" s="22">
        <f>CC37-CC47</f>
        <v>241000</v>
      </c>
      <c r="CE49" s="22">
        <f>CE33-CE47</f>
        <v>532000</v>
      </c>
      <c r="CG49" s="22">
        <f>CG33-CG47</f>
        <v>1422000</v>
      </c>
    </row>
    <row r="50" spans="1:85" x14ac:dyDescent="0.25">
      <c r="A50" s="19" t="s">
        <v>16</v>
      </c>
      <c r="B50" s="19"/>
      <c r="C50" s="19"/>
      <c r="D50" s="19"/>
      <c r="F50" s="19"/>
      <c r="G50" s="19"/>
      <c r="H50" s="19"/>
      <c r="J50" s="19"/>
      <c r="K50" s="19"/>
      <c r="L50" s="19"/>
      <c r="N50" s="19"/>
      <c r="O50" s="19"/>
      <c r="P50" s="19"/>
      <c r="R50" s="19"/>
      <c r="S50" s="19"/>
      <c r="T50" s="19"/>
      <c r="V50" s="19"/>
      <c r="W50" s="19"/>
      <c r="X50" s="19"/>
      <c r="Z50" s="19"/>
      <c r="AA50" s="19"/>
      <c r="AB50" s="19"/>
      <c r="AD50" s="19"/>
      <c r="AE50" s="19"/>
      <c r="AF50" s="19"/>
      <c r="AH50" s="19"/>
      <c r="AI50" s="19"/>
      <c r="AJ50" s="19"/>
      <c r="AL50" s="19"/>
      <c r="AM50" s="19"/>
      <c r="AN50" s="19"/>
      <c r="AP50" s="19"/>
      <c r="AQ50" s="19"/>
      <c r="AR50" s="19"/>
      <c r="AT50" s="19"/>
      <c r="AU50" s="19"/>
      <c r="AV50" s="19"/>
      <c r="AX50" s="19"/>
      <c r="AY50" s="19"/>
      <c r="AZ50" s="19"/>
      <c r="BB50" s="19">
        <v>2342</v>
      </c>
      <c r="BC50" s="19">
        <v>3</v>
      </c>
      <c r="BD50" s="19">
        <v>5</v>
      </c>
      <c r="BF50" s="19">
        <f>422+912+456</f>
        <v>1790</v>
      </c>
      <c r="BG50" s="19">
        <v>4</v>
      </c>
      <c r="BH50" s="19">
        <v>10</v>
      </c>
      <c r="BJ50" s="26">
        <v>235</v>
      </c>
      <c r="BK50" s="19">
        <v>8</v>
      </c>
      <c r="BL50" s="19">
        <v>4</v>
      </c>
      <c r="BN50" s="26"/>
      <c r="BO50" s="19"/>
      <c r="BP50" s="19"/>
      <c r="BQ50" s="14"/>
      <c r="BR50" s="26"/>
      <c r="BS50" s="19"/>
      <c r="BT50" s="19"/>
      <c r="BU50" s="14"/>
      <c r="BV50" s="26"/>
      <c r="BW50" s="26"/>
      <c r="BX50" s="14"/>
      <c r="BY50" s="26"/>
      <c r="CA50" s="26"/>
      <c r="CC50" s="26"/>
      <c r="CE50" s="26"/>
      <c r="CG50" s="26"/>
    </row>
    <row r="51" spans="1:85" x14ac:dyDescent="0.25">
      <c r="A51" s="21" t="s">
        <v>48</v>
      </c>
      <c r="B51" s="20">
        <f>B49+B50</f>
        <v>-207</v>
      </c>
      <c r="C51" s="20">
        <f t="shared" ref="C51:D51" si="189">C49+C50</f>
        <v>-9</v>
      </c>
      <c r="D51" s="20">
        <f t="shared" si="189"/>
        <v>-8</v>
      </c>
      <c r="E51" s="14">
        <f>240*B51+12*C51+D51</f>
        <v>-49796</v>
      </c>
      <c r="F51" s="20">
        <f>F49+F50</f>
        <v>-1609</v>
      </c>
      <c r="G51" s="20">
        <f t="shared" ref="G51:H51" si="190">G49+G50</f>
        <v>-2</v>
      </c>
      <c r="H51" s="20">
        <f t="shared" si="190"/>
        <v>-5</v>
      </c>
      <c r="I51" s="14">
        <f t="shared" ref="I51" si="191">240*F51+12*G51+H51</f>
        <v>-386189</v>
      </c>
      <c r="J51" s="20">
        <f>J49+J50</f>
        <v>-919</v>
      </c>
      <c r="K51" s="20">
        <f t="shared" ref="K51:L51" si="192">K49+K50</f>
        <v>9</v>
      </c>
      <c r="L51" s="20">
        <f t="shared" si="192"/>
        <v>0</v>
      </c>
      <c r="M51" s="14">
        <f t="shared" ref="M51" si="193">240*J51+12*K51+L51</f>
        <v>-220452</v>
      </c>
      <c r="N51" s="20">
        <f>N49+N50</f>
        <v>-332</v>
      </c>
      <c r="O51" s="20">
        <f t="shared" ref="O51:P51" si="194">O49+O50</f>
        <v>-15</v>
      </c>
      <c r="P51" s="20">
        <f t="shared" si="194"/>
        <v>1</v>
      </c>
      <c r="Q51" s="14">
        <f>240*N51+12*O51+P51</f>
        <v>-79859</v>
      </c>
      <c r="R51" s="20">
        <f>R49+R50</f>
        <v>-749</v>
      </c>
      <c r="S51" s="20">
        <f t="shared" ref="S51:T51" si="195">S49+S50</f>
        <v>15</v>
      </c>
      <c r="T51" s="20">
        <f t="shared" si="195"/>
        <v>12</v>
      </c>
      <c r="U51" s="14">
        <f>240*R51+12*S51+T51</f>
        <v>-179568</v>
      </c>
      <c r="V51" s="20">
        <f>V49+V50</f>
        <v>-901</v>
      </c>
      <c r="W51" s="20">
        <f t="shared" ref="W51:X51" si="196">W49+W50</f>
        <v>-19</v>
      </c>
      <c r="X51" s="20">
        <f t="shared" si="196"/>
        <v>-24</v>
      </c>
      <c r="Y51" s="14">
        <f>240*V51+12*W51+X51</f>
        <v>-216492</v>
      </c>
      <c r="Z51" s="20">
        <f>Z49+Z50</f>
        <v>-1326</v>
      </c>
      <c r="AA51" s="20">
        <f t="shared" ref="AA51:AB51" si="197">AA49+AA50</f>
        <v>-48</v>
      </c>
      <c r="AB51" s="20">
        <f t="shared" si="197"/>
        <v>-24</v>
      </c>
      <c r="AC51" s="14">
        <f>240*Z51+12*AA51+AB51</f>
        <v>-318840</v>
      </c>
      <c r="AD51" s="20">
        <f>AD49+AD50</f>
        <v>-1414</v>
      </c>
      <c r="AE51" s="20">
        <f t="shared" ref="AE51:AF51" si="198">AE49+AE50</f>
        <v>5</v>
      </c>
      <c r="AF51" s="20">
        <f t="shared" si="198"/>
        <v>-6</v>
      </c>
      <c r="AG51" s="14">
        <f>240*AD51+12*AE51+AF51</f>
        <v>-339306</v>
      </c>
      <c r="AH51" s="20">
        <f>AH49+AH50</f>
        <v>-1332</v>
      </c>
      <c r="AI51" s="20">
        <f t="shared" ref="AI51:AJ51" si="199">AI49+AI50</f>
        <v>-3</v>
      </c>
      <c r="AJ51" s="20">
        <f t="shared" si="199"/>
        <v>-1</v>
      </c>
      <c r="AK51" s="14">
        <f>240*AH51+12*AI51+AJ51</f>
        <v>-319717</v>
      </c>
      <c r="AL51" s="20">
        <f>AL49+AL50</f>
        <v>-1538</v>
      </c>
      <c r="AM51" s="20">
        <f t="shared" ref="AM51:AN51" si="200">AM49+AM50</f>
        <v>7</v>
      </c>
      <c r="AN51" s="20">
        <f t="shared" si="200"/>
        <v>4</v>
      </c>
      <c r="AO51" s="14">
        <f>240*AL51+12*AM51+AN51</f>
        <v>-369032</v>
      </c>
      <c r="AP51" s="20">
        <f>AP49+AP50</f>
        <v>-820</v>
      </c>
      <c r="AQ51" s="20">
        <f t="shared" ref="AQ51" si="201">AQ49+AQ50</f>
        <v>1</v>
      </c>
      <c r="AR51" s="20">
        <f t="shared" ref="AR51" si="202">AR49+AR50</f>
        <v>8</v>
      </c>
      <c r="AS51" s="14">
        <f>240*AP51+12*AQ51+AR51</f>
        <v>-196780</v>
      </c>
      <c r="AT51" s="20">
        <f>AT49+AT50</f>
        <v>-801</v>
      </c>
      <c r="AU51" s="20">
        <f t="shared" ref="AU51" si="203">AU49+AU50</f>
        <v>-10</v>
      </c>
      <c r="AV51" s="20">
        <f t="shared" ref="AV51" si="204">AV49+AV50</f>
        <v>0</v>
      </c>
      <c r="AW51" s="14">
        <f>240*AT51+12*AU51+AV51</f>
        <v>-192360</v>
      </c>
      <c r="AX51" s="20">
        <f>AX49+AX50</f>
        <v>-4248</v>
      </c>
      <c r="AY51" s="20">
        <f t="shared" ref="AY51" si="205">AY49+AY50</f>
        <v>2</v>
      </c>
      <c r="AZ51" s="20">
        <f t="shared" ref="AZ51" si="206">AZ49+AZ50</f>
        <v>-9</v>
      </c>
      <c r="BA51" s="14">
        <f>240*AX51+12*AY51+AZ51</f>
        <v>-1019505</v>
      </c>
      <c r="BB51" s="20">
        <f>BB49+BB50</f>
        <v>1</v>
      </c>
      <c r="BC51" s="20">
        <f t="shared" ref="BC51:BD51" si="207">BC49+BC50</f>
        <v>-19</v>
      </c>
      <c r="BD51" s="20">
        <f t="shared" si="207"/>
        <v>-12</v>
      </c>
      <c r="BE51" s="14">
        <f>240*BB51+12*BC51+BD51</f>
        <v>0</v>
      </c>
      <c r="BF51" s="20">
        <f>BF49+BF50</f>
        <v>0</v>
      </c>
      <c r="BG51" s="20">
        <f t="shared" ref="BG51" si="208">BG49+BG50</f>
        <v>0</v>
      </c>
      <c r="BH51" s="20">
        <f t="shared" ref="BH51" si="209">BH49+BH50</f>
        <v>0</v>
      </c>
      <c r="BI51" s="14">
        <f>240*BF51+12*BG51+BH51</f>
        <v>0</v>
      </c>
      <c r="BJ51" s="27">
        <f>BJ49+BJ50</f>
        <v>-1562</v>
      </c>
      <c r="BK51" s="20">
        <f t="shared" ref="BK51" si="210">BK49+BK50</f>
        <v>29</v>
      </c>
      <c r="BL51" s="20">
        <f t="shared" ref="BL51" si="211">BL49+BL50</f>
        <v>8</v>
      </c>
      <c r="BM51" s="14">
        <f>240*BJ51+12*BK51+BL51</f>
        <v>-374524</v>
      </c>
      <c r="BN51" s="27">
        <f>BN49+BN50</f>
        <v>986</v>
      </c>
      <c r="BO51" s="20">
        <f t="shared" ref="BO51:BP51" si="212">BO49+BO50</f>
        <v>0</v>
      </c>
      <c r="BP51" s="20">
        <f t="shared" si="212"/>
        <v>0</v>
      </c>
      <c r="BQ51" s="14"/>
      <c r="BR51" s="27">
        <f>BR49+BR50</f>
        <v>78579</v>
      </c>
      <c r="BS51" s="20">
        <f t="shared" ref="BS51:BT51" si="213">BS49+BS50</f>
        <v>0</v>
      </c>
      <c r="BT51" s="20">
        <f t="shared" si="213"/>
        <v>0</v>
      </c>
      <c r="BU51" s="14"/>
      <c r="BV51" s="27">
        <f>BV49+BV50</f>
        <v>131008</v>
      </c>
      <c r="BW51" s="27">
        <f>BW49+BW50</f>
        <v>190535</v>
      </c>
      <c r="BX51" s="14"/>
      <c r="BY51" s="27">
        <f>BY49+BY50</f>
        <v>69185</v>
      </c>
      <c r="BZ51" s="43" t="s">
        <v>111</v>
      </c>
      <c r="CA51" s="27">
        <f>CA49+CA50</f>
        <v>283000</v>
      </c>
      <c r="CC51" s="27">
        <f>CC49+CC50</f>
        <v>241000</v>
      </c>
      <c r="CE51" s="27">
        <f>CE49+CE50</f>
        <v>532000</v>
      </c>
      <c r="CG51" s="27">
        <f>CG49+CG50</f>
        <v>1422000</v>
      </c>
    </row>
    <row r="52" spans="1:85" x14ac:dyDescent="0.25">
      <c r="A52" t="s">
        <v>28</v>
      </c>
      <c r="BB52" s="7"/>
      <c r="BC52" s="7"/>
      <c r="BD52" s="7"/>
      <c r="BF52" s="7"/>
      <c r="BG52" s="7"/>
      <c r="BH52" s="7"/>
      <c r="BJ52" s="24">
        <f>3798-2238-1</f>
        <v>1559</v>
      </c>
      <c r="BK52" s="3">
        <f>13-17+20</f>
        <v>16</v>
      </c>
      <c r="BL52" s="3">
        <f>4-4</f>
        <v>0</v>
      </c>
      <c r="BN52" s="24"/>
      <c r="BO52" s="3"/>
      <c r="BP52" s="3"/>
      <c r="BQ52" s="14"/>
      <c r="BR52" s="24"/>
      <c r="BS52" s="3"/>
      <c r="BT52" s="3"/>
      <c r="BU52" s="14"/>
      <c r="BV52" s="24"/>
      <c r="BW52" s="24"/>
      <c r="BX52" s="14"/>
      <c r="BY52" s="24"/>
      <c r="CA52" s="24"/>
      <c r="CC52" s="24"/>
      <c r="CE52" s="24"/>
      <c r="CG52" s="24"/>
    </row>
    <row r="53" spans="1:85" ht="18.75" x14ac:dyDescent="0.3">
      <c r="A53" s="18" t="s">
        <v>44</v>
      </c>
      <c r="B53" s="7"/>
      <c r="C53" s="7"/>
      <c r="D53" s="7"/>
      <c r="F53" s="7"/>
      <c r="G53" s="7"/>
      <c r="H53" s="7"/>
      <c r="J53" s="7"/>
      <c r="K53" s="7"/>
      <c r="L53" s="7"/>
      <c r="N53" s="7"/>
      <c r="O53" s="7"/>
      <c r="P53" s="7"/>
      <c r="R53" s="7"/>
      <c r="S53" s="7"/>
      <c r="T53" s="7"/>
      <c r="V53" s="7"/>
      <c r="W53" s="7"/>
      <c r="X53" s="7"/>
      <c r="Z53" s="7"/>
      <c r="AA53" s="7"/>
      <c r="AB53" s="7"/>
      <c r="AD53" s="7"/>
      <c r="AE53" s="7"/>
      <c r="AF53" s="7"/>
      <c r="AH53" s="7"/>
      <c r="AI53" s="7"/>
      <c r="AJ53" s="7"/>
      <c r="AL53" s="7"/>
      <c r="AM53" s="7"/>
      <c r="AN53" s="7"/>
      <c r="AP53" s="7"/>
      <c r="AQ53" s="7"/>
      <c r="AR53" s="7"/>
      <c r="AT53" s="7"/>
      <c r="AU53" s="7"/>
      <c r="AV53" s="7"/>
      <c r="AX53" s="7"/>
      <c r="AY53" s="7"/>
      <c r="AZ53" s="7"/>
      <c r="BB53" s="7"/>
      <c r="BC53" s="7"/>
      <c r="BD53" s="7"/>
      <c r="BF53" s="7"/>
      <c r="BG53" s="7"/>
      <c r="BH53" s="7"/>
      <c r="BJ53" s="14"/>
      <c r="BK53" s="7"/>
      <c r="BL53" s="7"/>
      <c r="BN53" s="14"/>
      <c r="BO53" s="7"/>
      <c r="BP53" s="7"/>
      <c r="BQ53" s="14"/>
      <c r="BR53" s="14"/>
      <c r="BS53" s="7"/>
      <c r="BT53" s="7"/>
      <c r="BU53" s="14"/>
      <c r="BV53" s="14"/>
      <c r="BW53" s="14"/>
      <c r="BX53" s="14"/>
      <c r="BY53" s="14"/>
      <c r="CA53" s="14"/>
      <c r="CC53" s="14"/>
      <c r="CE53" s="14"/>
      <c r="CG53" s="14"/>
    </row>
    <row r="54" spans="1:85" x14ac:dyDescent="0.25">
      <c r="A54" s="17" t="s">
        <v>46</v>
      </c>
      <c r="B54" s="7">
        <f>B25+B48</f>
        <v>-152</v>
      </c>
      <c r="C54" s="7">
        <f t="shared" ref="C54:D54" si="214">C25+C48</f>
        <v>-17</v>
      </c>
      <c r="D54" s="7">
        <f t="shared" si="214"/>
        <v>-15.5</v>
      </c>
      <c r="E54" s="14">
        <f>240*B54+12*C54+D54</f>
        <v>-36699.5</v>
      </c>
      <c r="F54" s="7">
        <f>F25+F48</f>
        <v>-1878</v>
      </c>
      <c r="G54" s="7">
        <f t="shared" ref="G54:H54" si="215">G25+G48</f>
        <v>-59</v>
      </c>
      <c r="H54" s="7">
        <f t="shared" si="215"/>
        <v>-23.5</v>
      </c>
      <c r="I54" s="14">
        <f t="shared" ref="I54:I56" si="216">240*F54+12*G54+H54</f>
        <v>-451451.5</v>
      </c>
      <c r="J54" s="7">
        <f>J25+J48</f>
        <v>-259</v>
      </c>
      <c r="K54" s="7">
        <f t="shared" ref="K54:L54" si="217">K25+K48</f>
        <v>-84</v>
      </c>
      <c r="L54" s="7">
        <f t="shared" si="217"/>
        <v>-66.5</v>
      </c>
      <c r="M54" s="14">
        <f t="shared" ref="M54:M56" si="218">240*J54+12*K54+L54</f>
        <v>-63234.5</v>
      </c>
      <c r="N54" s="7">
        <f>N25+N48</f>
        <v>1128</v>
      </c>
      <c r="O54" s="7">
        <f t="shared" ref="O54:P54" si="219">O25+O48</f>
        <v>-29</v>
      </c>
      <c r="P54" s="7">
        <f t="shared" si="219"/>
        <v>-3</v>
      </c>
      <c r="Q54" s="14">
        <f>240*N54+12*O54+P54</f>
        <v>270369</v>
      </c>
      <c r="R54" s="7">
        <f>R25+R48</f>
        <v>-542</v>
      </c>
      <c r="S54" s="7">
        <f t="shared" ref="S54:T54" si="220">S25+S48</f>
        <v>-25</v>
      </c>
      <c r="T54" s="7">
        <f t="shared" si="220"/>
        <v>-32</v>
      </c>
      <c r="U54" s="14">
        <f>240*R54+12*S54+T54</f>
        <v>-130412</v>
      </c>
      <c r="V54" s="7">
        <f>V25+V48</f>
        <v>740</v>
      </c>
      <c r="W54" s="7">
        <f t="shared" ref="W54:X54" si="221">W25+W48</f>
        <v>1</v>
      </c>
      <c r="X54" s="7">
        <f t="shared" si="221"/>
        <v>-28</v>
      </c>
      <c r="Y54" s="14">
        <f>240*V54+12*W54+X54</f>
        <v>177584</v>
      </c>
      <c r="Z54" s="7">
        <f>Z25+Z48</f>
        <v>89</v>
      </c>
      <c r="AA54" s="7">
        <f t="shared" ref="AA54:AB54" si="222">AA25+AA48</f>
        <v>-223</v>
      </c>
      <c r="AB54" s="7">
        <f t="shared" si="222"/>
        <v>-61</v>
      </c>
      <c r="AC54" s="14">
        <f>240*Z54+12*AA54+AB54</f>
        <v>18623</v>
      </c>
      <c r="AD54" s="7">
        <f>AD25+AD48</f>
        <v>-231</v>
      </c>
      <c r="AE54" s="7">
        <f t="shared" ref="AE54:AF54" si="223">AE25+AE48</f>
        <v>4</v>
      </c>
      <c r="AF54" s="7">
        <f t="shared" si="223"/>
        <v>-22</v>
      </c>
      <c r="AG54" s="14">
        <f>240*AD54+12*AE54+AF54</f>
        <v>-55414</v>
      </c>
      <c r="AH54" s="7">
        <f>AH25+AH48</f>
        <v>101</v>
      </c>
      <c r="AI54" s="7">
        <f t="shared" ref="AI54:AJ54" si="224">AI25+AI48</f>
        <v>-12</v>
      </c>
      <c r="AJ54" s="7">
        <f t="shared" si="224"/>
        <v>-12</v>
      </c>
      <c r="AK54" s="14">
        <f>240*AH54+12*AI54+AJ54</f>
        <v>24084</v>
      </c>
      <c r="AL54" s="7">
        <f>AL25+AL48</f>
        <v>1672</v>
      </c>
      <c r="AM54" s="7">
        <f t="shared" ref="AM54:AN54" si="225">AM25+AM48</f>
        <v>-13</v>
      </c>
      <c r="AN54" s="7">
        <f t="shared" si="225"/>
        <v>27</v>
      </c>
      <c r="AO54" s="14">
        <f>240*AL54+12*AM54+AN54</f>
        <v>401151</v>
      </c>
      <c r="AP54" s="7">
        <f>AP25+AP48</f>
        <v>-282</v>
      </c>
      <c r="AQ54" s="7">
        <f t="shared" ref="AQ54:AR54" si="226">AQ25+AQ48</f>
        <v>-8</v>
      </c>
      <c r="AR54" s="7">
        <f t="shared" si="226"/>
        <v>4</v>
      </c>
      <c r="AS54" s="14">
        <f>240*AP54+12*AQ54+AR54</f>
        <v>-67772</v>
      </c>
      <c r="AT54" s="7">
        <f>AT25+AT48</f>
        <v>-776</v>
      </c>
      <c r="AU54" s="7">
        <f t="shared" ref="AU54:AV54" si="227">AU25+AU48</f>
        <v>7</v>
      </c>
      <c r="AV54" s="7">
        <f t="shared" si="227"/>
        <v>8</v>
      </c>
      <c r="AW54" s="14">
        <f>240*AT54+12*AU54+AV54</f>
        <v>-186148</v>
      </c>
      <c r="AX54" s="7">
        <f>AX25+AX48</f>
        <v>-5484</v>
      </c>
      <c r="AY54" s="7">
        <f t="shared" ref="AY54:AZ54" si="228">AY25+AY48</f>
        <v>17</v>
      </c>
      <c r="AZ54" s="7">
        <f t="shared" si="228"/>
        <v>-7</v>
      </c>
      <c r="BA54" s="14">
        <f>240*AX54+12*AY54+AZ54</f>
        <v>-1315963</v>
      </c>
      <c r="BB54" s="7">
        <f>BB25+BB48</f>
        <v>-3562</v>
      </c>
      <c r="BC54" s="7">
        <f t="shared" ref="BC54:BD54" si="229">BC25+BC48</f>
        <v>-35</v>
      </c>
      <c r="BD54" s="7">
        <f t="shared" si="229"/>
        <v>-10</v>
      </c>
      <c r="BE54" s="14">
        <f>240*BB54+12*BC54+BD54</f>
        <v>-855310</v>
      </c>
      <c r="BF54" s="7">
        <f>BF25+BF48</f>
        <v>-6447</v>
      </c>
      <c r="BG54" s="7">
        <f t="shared" ref="BG54:BH54" si="230">BG25+BG48</f>
        <v>-27</v>
      </c>
      <c r="BH54" s="7">
        <f t="shared" si="230"/>
        <v>-1</v>
      </c>
      <c r="BI54" s="14">
        <f>240*BF54+12*BG54+BH54</f>
        <v>-1547605</v>
      </c>
      <c r="BJ54" s="14">
        <f>BJ25+BJ48</f>
        <v>-8152</v>
      </c>
      <c r="BK54" s="7">
        <f t="shared" ref="BK54:BL54" si="231">BK25+BK48</f>
        <v>27</v>
      </c>
      <c r="BL54" s="7">
        <f t="shared" si="231"/>
        <v>-8</v>
      </c>
      <c r="BM54" s="14">
        <f>240*BJ54+12*BK54+BL54</f>
        <v>-1956164</v>
      </c>
      <c r="BN54" s="14">
        <f>BN25+BN48</f>
        <v>-34175</v>
      </c>
      <c r="BO54" s="7">
        <f t="shared" ref="BO54:BP54" si="232">BO25+BO48</f>
        <v>0</v>
      </c>
      <c r="BP54" s="7">
        <f t="shared" si="232"/>
        <v>0</v>
      </c>
      <c r="BQ54" s="14"/>
      <c r="BR54" s="14">
        <f>BR25+BR48</f>
        <v>-90229</v>
      </c>
      <c r="BS54" s="7">
        <f t="shared" ref="BS54:BT54" si="233">BS25+BS48</f>
        <v>0</v>
      </c>
      <c r="BT54" s="7">
        <f t="shared" si="233"/>
        <v>0</v>
      </c>
      <c r="BU54" s="14"/>
      <c r="BV54" s="14">
        <f>BV25+BV48</f>
        <v>-147903</v>
      </c>
      <c r="BW54" s="14">
        <f>BW25+BW48</f>
        <v>94394</v>
      </c>
      <c r="BX54" s="14"/>
      <c r="BY54" s="14">
        <f>BY25+BY48</f>
        <v>-211873</v>
      </c>
      <c r="CA54" s="14">
        <f>CA25+CA48</f>
        <v>-1091000</v>
      </c>
      <c r="CC54" s="14">
        <f>CC25+CC48</f>
        <v>-1006000</v>
      </c>
      <c r="CE54" s="14">
        <f>CE25+CE48</f>
        <v>-805000</v>
      </c>
      <c r="CG54" s="14">
        <f>CG25+CG48</f>
        <v>-622000</v>
      </c>
    </row>
    <row r="55" spans="1:85" x14ac:dyDescent="0.25">
      <c r="A55" s="12" t="s">
        <v>47</v>
      </c>
      <c r="B55" s="10">
        <f>B25+B49</f>
        <v>-152</v>
      </c>
      <c r="C55" s="10">
        <f t="shared" ref="C55:D55" si="234">C25+C49</f>
        <v>-17</v>
      </c>
      <c r="D55" s="10">
        <f t="shared" si="234"/>
        <v>-15.5</v>
      </c>
      <c r="E55" s="14">
        <f>240*B55+12*C55+D55</f>
        <v>-36699.5</v>
      </c>
      <c r="F55" s="10">
        <f>F25+F49</f>
        <v>-1878</v>
      </c>
      <c r="G55" s="10">
        <f t="shared" ref="G55:H55" si="235">G25+G49</f>
        <v>-59</v>
      </c>
      <c r="H55" s="10">
        <f t="shared" si="235"/>
        <v>-23.5</v>
      </c>
      <c r="I55" s="14">
        <f t="shared" si="216"/>
        <v>-451451.5</v>
      </c>
      <c r="J55" s="10">
        <f>J25+J49</f>
        <v>-259</v>
      </c>
      <c r="K55" s="10">
        <f t="shared" ref="K55:L55" si="236">K25+K49</f>
        <v>-84</v>
      </c>
      <c r="L55" s="10">
        <f t="shared" si="236"/>
        <v>-66.5</v>
      </c>
      <c r="M55" s="14">
        <f t="shared" si="218"/>
        <v>-63234.5</v>
      </c>
      <c r="N55" s="10">
        <f>N25+N49</f>
        <v>1128</v>
      </c>
      <c r="O55" s="10">
        <f t="shared" ref="O55:P55" si="237">O25+O49</f>
        <v>-29</v>
      </c>
      <c r="P55" s="10">
        <f t="shared" si="237"/>
        <v>-3</v>
      </c>
      <c r="Q55" s="14">
        <f>240*N55+12*O55+P55</f>
        <v>270369</v>
      </c>
      <c r="R55" s="10">
        <f>R25+R49</f>
        <v>-542</v>
      </c>
      <c r="S55" s="10">
        <f t="shared" ref="S55:T55" si="238">S25+S49</f>
        <v>-25</v>
      </c>
      <c r="T55" s="10">
        <f t="shared" si="238"/>
        <v>-32</v>
      </c>
      <c r="U55" s="14">
        <f>240*R55+12*S55+T55</f>
        <v>-130412</v>
      </c>
      <c r="V55" s="10">
        <f>V25+V49</f>
        <v>740</v>
      </c>
      <c r="W55" s="10">
        <f t="shared" ref="W55:X55" si="239">W25+W49</f>
        <v>1</v>
      </c>
      <c r="X55" s="10">
        <f t="shared" si="239"/>
        <v>-28</v>
      </c>
      <c r="Y55" s="14">
        <f>240*V55+12*W55+X55</f>
        <v>177584</v>
      </c>
      <c r="Z55" s="10">
        <f>Z25+Z49</f>
        <v>89</v>
      </c>
      <c r="AA55" s="10">
        <f t="shared" ref="AA55:AB55" si="240">AA25+AA49</f>
        <v>-223</v>
      </c>
      <c r="AB55" s="10">
        <f t="shared" si="240"/>
        <v>-61</v>
      </c>
      <c r="AC55" s="14">
        <f>240*Z55+12*AA55+AB55</f>
        <v>18623</v>
      </c>
      <c r="AD55" s="10">
        <f>AD25+AD49</f>
        <v>-231</v>
      </c>
      <c r="AE55" s="10">
        <f t="shared" ref="AE55:AF55" si="241">AE25+AE49</f>
        <v>4</v>
      </c>
      <c r="AF55" s="10">
        <f t="shared" si="241"/>
        <v>-22</v>
      </c>
      <c r="AG55" s="14">
        <f>240*AD55+12*AE55+AF55</f>
        <v>-55414</v>
      </c>
      <c r="AH55" s="10">
        <f>AH25+AH49</f>
        <v>101</v>
      </c>
      <c r="AI55" s="10">
        <f t="shared" ref="AI55:AJ55" si="242">AI25+AI49</f>
        <v>-12</v>
      </c>
      <c r="AJ55" s="10">
        <f t="shared" si="242"/>
        <v>-12</v>
      </c>
      <c r="AK55" s="14">
        <f>240*AH55+12*AI55+AJ55</f>
        <v>24084</v>
      </c>
      <c r="AL55" s="10">
        <f>AL25+AL49</f>
        <v>1672</v>
      </c>
      <c r="AM55" s="10">
        <f t="shared" ref="AM55:AN55" si="243">AM25+AM49</f>
        <v>-13</v>
      </c>
      <c r="AN55" s="10">
        <f t="shared" si="243"/>
        <v>27</v>
      </c>
      <c r="AO55" s="14">
        <f>240*AL55+12*AM55+AN55</f>
        <v>401151</v>
      </c>
      <c r="AP55" s="10">
        <f>AP25+AP49</f>
        <v>206</v>
      </c>
      <c r="AQ55" s="10">
        <f t="shared" ref="AQ55:AR55" si="244">AQ25+AQ49</f>
        <v>-2</v>
      </c>
      <c r="AR55" s="10">
        <f t="shared" si="244"/>
        <v>12</v>
      </c>
      <c r="AS55" s="14">
        <f>240*AP55+12*AQ55+AR55</f>
        <v>49428</v>
      </c>
      <c r="AT55" s="10">
        <f>AT25+AT49</f>
        <v>-1</v>
      </c>
      <c r="AU55" s="10">
        <f t="shared" ref="AU55:AV55" si="245">AU25+AU49</f>
        <v>-7</v>
      </c>
      <c r="AV55" s="10">
        <f t="shared" si="245"/>
        <v>8</v>
      </c>
      <c r="AW55" s="14">
        <f>240*AT55+12*AU55+AV55</f>
        <v>-316</v>
      </c>
      <c r="AX55" s="10">
        <f>AX25+AX49</f>
        <v>-4949</v>
      </c>
      <c r="AY55" s="10">
        <f t="shared" ref="AY55:AZ55" si="246">AY25+AY49</f>
        <v>17</v>
      </c>
      <c r="AZ55" s="10">
        <f t="shared" si="246"/>
        <v>-7</v>
      </c>
      <c r="BA55" s="14">
        <f>240*AX55+12*AY55+AZ55</f>
        <v>-1187563</v>
      </c>
      <c r="BB55" s="10">
        <f>BB25+BB49</f>
        <v>-1622</v>
      </c>
      <c r="BC55" s="10">
        <f t="shared" ref="BC55:BD55" si="247">BC25+BC49</f>
        <v>-35</v>
      </c>
      <c r="BD55" s="10">
        <f t="shared" si="247"/>
        <v>-10</v>
      </c>
      <c r="BE55" s="14">
        <f>240*BB55+12*BC55+BD55</f>
        <v>-389710</v>
      </c>
      <c r="BF55" s="10">
        <f>BF25+BF49</f>
        <v>-4752</v>
      </c>
      <c r="BG55" s="10">
        <f t="shared" ref="BG55:BH55" si="248">BG25+BG49</f>
        <v>-27</v>
      </c>
      <c r="BH55" s="10">
        <f t="shared" si="248"/>
        <v>-1</v>
      </c>
      <c r="BI55" s="14">
        <f>240*BF55+12*BG55+BH55</f>
        <v>-1140805</v>
      </c>
      <c r="BJ55" s="22">
        <f>BJ25+BJ49</f>
        <v>-7057</v>
      </c>
      <c r="BK55" s="10">
        <f t="shared" ref="BK55:BL55" si="249">BK25+BK49</f>
        <v>41</v>
      </c>
      <c r="BL55" s="10">
        <f t="shared" si="249"/>
        <v>1</v>
      </c>
      <c r="BM55" s="14">
        <f>240*BJ55+12*BK55+BL55</f>
        <v>-1693187</v>
      </c>
      <c r="BN55" s="22">
        <f>BN25+BN49</f>
        <v>-34175</v>
      </c>
      <c r="BO55" s="10">
        <f t="shared" ref="BO55:BP55" si="250">BO25+BO49</f>
        <v>0</v>
      </c>
      <c r="BP55" s="10">
        <f t="shared" si="250"/>
        <v>0</v>
      </c>
      <c r="BQ55" s="14"/>
      <c r="BR55" s="22">
        <f>BR25+BR49</f>
        <v>-90229</v>
      </c>
      <c r="BS55" s="10">
        <f t="shared" ref="BS55:BT55" si="251">BS25+BS49</f>
        <v>0</v>
      </c>
      <c r="BT55" s="10">
        <f t="shared" si="251"/>
        <v>0</v>
      </c>
      <c r="BU55" s="14"/>
      <c r="BV55" s="22">
        <f>BV25+BV49</f>
        <v>-147903</v>
      </c>
      <c r="BW55" s="22">
        <f>BW25+BW49</f>
        <v>94394</v>
      </c>
      <c r="BX55" s="14"/>
      <c r="BY55" s="22">
        <f>BY25+BY49</f>
        <v>-211873</v>
      </c>
      <c r="CA55" s="22">
        <f>CA25+CA49</f>
        <v>-1091000</v>
      </c>
      <c r="CC55" s="22">
        <f>CC25+CC49</f>
        <v>-1006000</v>
      </c>
      <c r="CE55" s="22">
        <f>CE25+CE49</f>
        <v>-805000</v>
      </c>
      <c r="CG55" s="22">
        <f>CG25+CG49</f>
        <v>-622000</v>
      </c>
    </row>
    <row r="56" spans="1:85" x14ac:dyDescent="0.25">
      <c r="A56" s="20" t="s">
        <v>45</v>
      </c>
      <c r="B56" s="20">
        <f>B27+B51</f>
        <v>-152</v>
      </c>
      <c r="C56" s="20">
        <f>C27+C51</f>
        <v>-17</v>
      </c>
      <c r="D56" s="20">
        <f>D27+D51</f>
        <v>-15.5</v>
      </c>
      <c r="E56" s="14">
        <f>240*B56+12*C56+D56</f>
        <v>-36699.5</v>
      </c>
      <c r="F56" s="20">
        <f>F27+F51</f>
        <v>-1878</v>
      </c>
      <c r="G56" s="20">
        <f>G27+G51</f>
        <v>-59</v>
      </c>
      <c r="H56" s="20">
        <f>H27+H51</f>
        <v>-23.5</v>
      </c>
      <c r="I56" s="14">
        <f t="shared" si="216"/>
        <v>-451451.5</v>
      </c>
      <c r="J56" s="20">
        <f>J27+J51</f>
        <v>-259</v>
      </c>
      <c r="K56" s="20">
        <f>K27+K51</f>
        <v>-84</v>
      </c>
      <c r="L56" s="20">
        <f>L27+L51</f>
        <v>-66.5</v>
      </c>
      <c r="M56" s="14">
        <f t="shared" si="218"/>
        <v>-63234.5</v>
      </c>
      <c r="N56" s="20">
        <f>N27+N51</f>
        <v>1128</v>
      </c>
      <c r="O56" s="20">
        <f>O27+O51</f>
        <v>-29</v>
      </c>
      <c r="P56" s="20">
        <f>P27+P51</f>
        <v>-3</v>
      </c>
      <c r="Q56" s="14">
        <f>240*N56+12*O56+P56</f>
        <v>270369</v>
      </c>
      <c r="R56" s="20">
        <f>R27+R51</f>
        <v>-542</v>
      </c>
      <c r="S56" s="20">
        <f>S27+S51</f>
        <v>-25</v>
      </c>
      <c r="T56" s="20">
        <f>T27+T51</f>
        <v>-32</v>
      </c>
      <c r="U56" s="14">
        <f>240*R56+12*S56+T56</f>
        <v>-130412</v>
      </c>
      <c r="V56" s="20">
        <f>V27+V51</f>
        <v>740</v>
      </c>
      <c r="W56" s="20">
        <f>W27+W51</f>
        <v>1</v>
      </c>
      <c r="X56" s="20">
        <f>X27+X51</f>
        <v>-28</v>
      </c>
      <c r="Y56" s="14">
        <f>240*V56+12*W56+X56</f>
        <v>177584</v>
      </c>
      <c r="Z56" s="20">
        <f>Z27+Z51</f>
        <v>89</v>
      </c>
      <c r="AA56" s="20">
        <f>AA27+AA51</f>
        <v>-223</v>
      </c>
      <c r="AB56" s="20">
        <f>AB27+AB51</f>
        <v>-61</v>
      </c>
      <c r="AC56" s="14">
        <f>240*Z56+12*AA56+AB56</f>
        <v>18623</v>
      </c>
      <c r="AD56" s="20">
        <f>AD27+AD51</f>
        <v>-231</v>
      </c>
      <c r="AE56" s="20">
        <f>AE27+AE51</f>
        <v>4</v>
      </c>
      <c r="AF56" s="20">
        <f>AF27+AF51</f>
        <v>-22</v>
      </c>
      <c r="AG56" s="14">
        <f>240*AD56+12*AE56+AF56</f>
        <v>-55414</v>
      </c>
      <c r="AH56" s="20">
        <f>AH27+AH51</f>
        <v>101</v>
      </c>
      <c r="AI56" s="20">
        <f>AI27+AI51</f>
        <v>-12</v>
      </c>
      <c r="AJ56" s="20">
        <f>AJ27+AJ51</f>
        <v>-12</v>
      </c>
      <c r="AK56" s="14">
        <f>240*AH56+12*AI56+AJ56</f>
        <v>24084</v>
      </c>
      <c r="AL56" s="20">
        <f>AL27+AL51</f>
        <v>1672</v>
      </c>
      <c r="AM56" s="20">
        <f>AM27+AM51</f>
        <v>-13</v>
      </c>
      <c r="AN56" s="20">
        <f>AN27+AN51</f>
        <v>27</v>
      </c>
      <c r="AO56" s="14">
        <f>240*AL56+12*AM56+AN56</f>
        <v>401151</v>
      </c>
      <c r="AP56" s="20">
        <f>AP27+AP51</f>
        <v>206</v>
      </c>
      <c r="AQ56" s="20">
        <f>AQ27+AQ51</f>
        <v>-2</v>
      </c>
      <c r="AR56" s="20">
        <f>AR27+AR51</f>
        <v>12</v>
      </c>
      <c r="AS56" s="14">
        <f>240*AP56+12*AQ56+AR56</f>
        <v>49428</v>
      </c>
      <c r="AT56" s="20">
        <f>AT27+AT51</f>
        <v>-1</v>
      </c>
      <c r="AU56" s="20">
        <f>AU27+AU51</f>
        <v>-7</v>
      </c>
      <c r="AV56" s="20">
        <f>AV27+AV51</f>
        <v>8</v>
      </c>
      <c r="AW56" s="14">
        <f>240*AT56+12*AU56+AV56</f>
        <v>-316</v>
      </c>
      <c r="AX56" s="20">
        <f>AX27+AX51</f>
        <v>-4949</v>
      </c>
      <c r="AY56" s="20">
        <f>AY27+AY51</f>
        <v>17</v>
      </c>
      <c r="AZ56" s="20">
        <f>AZ27+AZ51</f>
        <v>-7</v>
      </c>
      <c r="BA56" s="14">
        <f>240*AX56+12*AY56+AZ56</f>
        <v>-1187563</v>
      </c>
      <c r="BB56" s="20">
        <f>BB27+BB51</f>
        <v>720</v>
      </c>
      <c r="BC56" s="20">
        <f>BC27+BC51</f>
        <v>-32</v>
      </c>
      <c r="BD56" s="20">
        <f>BD27+BD51</f>
        <v>-5</v>
      </c>
      <c r="BE56" s="14">
        <f>240*BB56+12*BC56+BD56</f>
        <v>172411</v>
      </c>
      <c r="BF56" s="20">
        <f>BF27+BF51</f>
        <v>-1139</v>
      </c>
      <c r="BG56" s="20">
        <f>BG27+BG51</f>
        <v>-16</v>
      </c>
      <c r="BH56" s="20">
        <f>BH27+BH51</f>
        <v>10</v>
      </c>
      <c r="BI56" s="14">
        <f>240*BF56+12*BG56+BH56</f>
        <v>-273542</v>
      </c>
      <c r="BJ56" s="27">
        <f>BJ27+BJ51</f>
        <v>-4848</v>
      </c>
      <c r="BK56" s="20">
        <f>BK27+BK51</f>
        <v>55</v>
      </c>
      <c r="BL56" s="20">
        <f>BL27+BL51</f>
        <v>12</v>
      </c>
      <c r="BM56" s="14">
        <f>240*BJ56+12*BK56+BL56</f>
        <v>-1162848</v>
      </c>
      <c r="BN56" s="27">
        <f>BN27+BN51</f>
        <v>4427</v>
      </c>
      <c r="BO56" s="20">
        <f>BO27+BO51</f>
        <v>0</v>
      </c>
      <c r="BP56" s="20">
        <f>BP27+BP51</f>
        <v>0</v>
      </c>
      <c r="BQ56" s="14"/>
      <c r="BR56" s="27">
        <f>BR27+BR51</f>
        <v>-73490</v>
      </c>
      <c r="BS56" s="20">
        <f>BS27+BS51</f>
        <v>0</v>
      </c>
      <c r="BT56" s="20">
        <f>BT27+BT51</f>
        <v>0</v>
      </c>
      <c r="BU56" s="14"/>
      <c r="BV56" s="27">
        <f>BV27+BV51</f>
        <v>-21420</v>
      </c>
      <c r="BW56" s="27">
        <f>BW27+BW51</f>
        <v>207165</v>
      </c>
      <c r="BX56" s="14"/>
      <c r="BY56" s="27">
        <f>BY27+BY51</f>
        <v>-92881</v>
      </c>
      <c r="CA56" s="27">
        <f>CA27+CA51</f>
        <v>-1091000</v>
      </c>
      <c r="CC56" s="27">
        <f>CC27+CC51</f>
        <v>-98000</v>
      </c>
      <c r="CE56" s="27">
        <f>CE27+CE51</f>
        <v>-113000</v>
      </c>
      <c r="CG56" s="27">
        <f>CG27+CG51</f>
        <v>1398000</v>
      </c>
    </row>
    <row r="57" spans="1:85" x14ac:dyDescent="0.25">
      <c r="A57" s="7" t="s">
        <v>57</v>
      </c>
      <c r="B57" s="7"/>
      <c r="C57" s="7"/>
      <c r="D57" s="7"/>
      <c r="F57" s="7"/>
      <c r="G57" s="7"/>
      <c r="H57" s="7"/>
      <c r="J57" s="7"/>
      <c r="K57" s="7"/>
      <c r="L57" s="7"/>
      <c r="N57" s="7"/>
      <c r="O57" s="7"/>
      <c r="P57" s="7"/>
      <c r="R57" s="7"/>
      <c r="S57" s="7"/>
      <c r="T57" s="7"/>
      <c r="V57" s="7"/>
      <c r="W57" s="7"/>
      <c r="X57" s="7"/>
      <c r="Z57" s="7"/>
      <c r="AA57" s="7"/>
      <c r="AB57" s="7"/>
      <c r="AD57" s="7">
        <f>324-91</f>
        <v>233</v>
      </c>
      <c r="AE57" s="7">
        <f>4-18</f>
        <v>-14</v>
      </c>
      <c r="AF57" s="7">
        <f>7-3</f>
        <v>4</v>
      </c>
      <c r="AH57" s="7"/>
      <c r="AI57" s="7"/>
      <c r="AJ57" s="7"/>
      <c r="AL57" s="7"/>
      <c r="AM57" s="7"/>
      <c r="AN57" s="7"/>
      <c r="AP57" s="7"/>
      <c r="AQ57" s="7"/>
      <c r="AR57" s="7"/>
      <c r="AT57" s="7"/>
      <c r="AU57" s="7"/>
      <c r="AV57" s="7"/>
      <c r="AX57" s="7"/>
      <c r="AY57" s="7"/>
      <c r="AZ57" s="7"/>
      <c r="BB57" s="7"/>
      <c r="BC57" s="7"/>
      <c r="BD57" s="7"/>
      <c r="BF57" s="7"/>
      <c r="BG57" s="7"/>
      <c r="BH57" s="7"/>
      <c r="BJ57" s="14"/>
      <c r="BK57" s="7"/>
      <c r="BL57" s="7"/>
      <c r="BN57" s="14"/>
      <c r="BO57" s="7"/>
      <c r="BP57" s="7"/>
      <c r="BQ57" s="14"/>
      <c r="BR57" s="14"/>
      <c r="BS57" s="7"/>
      <c r="BT57" s="7"/>
      <c r="BU57" s="14"/>
      <c r="BV57" s="14"/>
      <c r="BW57" s="14"/>
      <c r="BX57" s="14"/>
      <c r="BY57" s="14"/>
      <c r="CA57" s="14"/>
      <c r="CC57" s="14"/>
      <c r="CE57" s="14"/>
      <c r="CG57" s="14"/>
    </row>
    <row r="58" spans="1:85" s="17" customFormat="1" x14ac:dyDescent="0.25">
      <c r="A58" s="35" t="s">
        <v>56</v>
      </c>
      <c r="B58" s="35"/>
      <c r="C58" s="35"/>
      <c r="D58" s="35"/>
      <c r="E58" s="36"/>
      <c r="F58" s="35"/>
      <c r="G58" s="35"/>
      <c r="H58" s="35"/>
      <c r="I58" s="36"/>
      <c r="J58" s="35"/>
      <c r="K58" s="35"/>
      <c r="L58" s="35"/>
      <c r="M58" s="36"/>
      <c r="N58" s="35"/>
      <c r="O58" s="35"/>
      <c r="P58" s="35"/>
      <c r="Q58" s="36"/>
      <c r="R58" s="35"/>
      <c r="S58" s="35"/>
      <c r="T58" s="35"/>
      <c r="U58" s="36"/>
      <c r="V58" s="35"/>
      <c r="W58" s="35"/>
      <c r="X58" s="35"/>
      <c r="Y58" s="36"/>
      <c r="Z58" s="35"/>
      <c r="AA58" s="35"/>
      <c r="AB58" s="35"/>
      <c r="AC58" s="36"/>
      <c r="AD58" s="35"/>
      <c r="AE58" s="35"/>
      <c r="AF58" s="35"/>
      <c r="AG58" s="36"/>
      <c r="AH58" s="35"/>
      <c r="AI58" s="35"/>
      <c r="AJ58" s="35"/>
      <c r="AK58" s="36"/>
      <c r="AL58" s="35"/>
      <c r="AM58" s="35"/>
      <c r="AN58" s="35"/>
      <c r="AO58" s="36"/>
      <c r="AP58" s="35"/>
      <c r="AQ58" s="35"/>
      <c r="AR58" s="35"/>
      <c r="AS58" s="36"/>
      <c r="AT58" s="35"/>
      <c r="AU58" s="35"/>
      <c r="AV58" s="35"/>
      <c r="AW58" s="36"/>
      <c r="AX58" s="35"/>
      <c r="AY58" s="35"/>
      <c r="AZ58" s="35"/>
      <c r="BA58" s="36"/>
      <c r="BB58" s="35"/>
      <c r="BC58" s="35"/>
      <c r="BD58" s="35"/>
      <c r="BE58" s="36"/>
      <c r="BF58" s="35"/>
      <c r="BG58" s="35"/>
      <c r="BH58" s="35"/>
      <c r="BI58" s="36"/>
      <c r="BJ58" s="37"/>
      <c r="BK58" s="35"/>
      <c r="BL58" s="35"/>
      <c r="BM58" s="36"/>
      <c r="BN58" s="37"/>
      <c r="BO58" s="35"/>
      <c r="BP58" s="35"/>
      <c r="BR58" s="37">
        <v>1305052</v>
      </c>
      <c r="BS58" s="35"/>
      <c r="BT58" s="35"/>
      <c r="BV58" s="37">
        <v>2592357</v>
      </c>
      <c r="BW58" s="37">
        <v>2965659</v>
      </c>
      <c r="BY58" s="37" t="s">
        <v>112</v>
      </c>
      <c r="CA58" s="37">
        <v>72164000</v>
      </c>
      <c r="CC58" s="37">
        <v>79408000</v>
      </c>
      <c r="CE58" s="37">
        <v>139102000</v>
      </c>
      <c r="CG58" s="37">
        <v>236202000</v>
      </c>
    </row>
    <row r="59" spans="1:85" s="17" customFormat="1" x14ac:dyDescent="0.25">
      <c r="A59" s="35"/>
      <c r="B59" s="35"/>
      <c r="C59" s="35"/>
      <c r="D59" s="35"/>
      <c r="E59" s="36"/>
      <c r="F59" s="35"/>
      <c r="G59" s="35"/>
      <c r="H59" s="35"/>
      <c r="I59" s="36"/>
      <c r="J59" s="35"/>
      <c r="K59" s="35"/>
      <c r="L59" s="35"/>
      <c r="M59" s="36"/>
      <c r="N59" s="35"/>
      <c r="O59" s="35"/>
      <c r="P59" s="35"/>
      <c r="Q59" s="36"/>
      <c r="R59" s="35"/>
      <c r="S59" s="35"/>
      <c r="T59" s="35"/>
      <c r="U59" s="36"/>
      <c r="V59" s="35"/>
      <c r="W59" s="35"/>
      <c r="X59" s="35"/>
      <c r="Y59" s="36"/>
      <c r="Z59" s="35"/>
      <c r="AA59" s="35"/>
      <c r="AB59" s="35"/>
      <c r="AC59" s="36"/>
      <c r="AD59" s="35"/>
      <c r="AE59" s="35"/>
      <c r="AF59" s="35"/>
      <c r="AG59" s="36"/>
      <c r="AH59" s="35"/>
      <c r="AI59" s="35"/>
      <c r="AJ59" s="35"/>
      <c r="AK59" s="36"/>
      <c r="AL59" s="35"/>
      <c r="AM59" s="35"/>
      <c r="AN59" s="35"/>
      <c r="AO59" s="36"/>
      <c r="AP59" s="35"/>
      <c r="AQ59" s="35"/>
      <c r="AR59" s="35"/>
      <c r="AS59" s="36"/>
      <c r="AT59" s="35"/>
      <c r="AU59" s="35"/>
      <c r="AV59" s="35"/>
      <c r="AW59" s="36"/>
      <c r="AX59" s="35"/>
      <c r="AY59" s="35"/>
      <c r="AZ59" s="35"/>
      <c r="BA59" s="36"/>
      <c r="BB59" s="35"/>
      <c r="BC59" s="35"/>
      <c r="BD59" s="35"/>
      <c r="BE59" s="36"/>
      <c r="BF59" s="35"/>
      <c r="BG59" s="35"/>
      <c r="BH59" s="35"/>
      <c r="BI59" s="36"/>
      <c r="BJ59" s="37"/>
      <c r="BK59" s="35"/>
      <c r="BL59" s="35"/>
      <c r="BM59" s="36"/>
      <c r="BN59" s="37"/>
      <c r="BO59" s="35"/>
      <c r="BP59" s="35"/>
      <c r="BR59" s="37"/>
      <c r="BS59" s="35"/>
      <c r="BT59" s="35"/>
      <c r="BV59" s="37"/>
      <c r="BW59" s="37"/>
      <c r="BY59" s="37"/>
      <c r="CA59" s="37"/>
      <c r="CC59" s="37"/>
      <c r="CE59" s="37"/>
      <c r="CG59" s="37"/>
    </row>
    <row r="60" spans="1:85" s="17" customFormat="1" x14ac:dyDescent="0.25">
      <c r="A60" s="35"/>
      <c r="B60" s="35"/>
      <c r="C60" s="35"/>
      <c r="D60" s="35"/>
      <c r="E60" s="36"/>
      <c r="F60" s="35"/>
      <c r="G60" s="35"/>
      <c r="H60" s="35"/>
      <c r="I60" s="36"/>
      <c r="J60" s="35"/>
      <c r="K60" s="35"/>
      <c r="L60" s="35"/>
      <c r="M60" s="36"/>
      <c r="N60" s="35"/>
      <c r="O60" s="35"/>
      <c r="P60" s="35"/>
      <c r="Q60" s="36"/>
      <c r="R60" s="35"/>
      <c r="S60" s="35"/>
      <c r="T60" s="35"/>
      <c r="U60" s="36"/>
      <c r="V60" s="35"/>
      <c r="W60" s="35"/>
      <c r="X60" s="35"/>
      <c r="Y60" s="36"/>
      <c r="Z60" s="35"/>
      <c r="AA60" s="35"/>
      <c r="AB60" s="35"/>
      <c r="AC60" s="36"/>
      <c r="AD60" s="35"/>
      <c r="AE60" s="35"/>
      <c r="AF60" s="35"/>
      <c r="AG60" s="36"/>
      <c r="AH60" s="35"/>
      <c r="AI60" s="35"/>
      <c r="AJ60" s="35"/>
      <c r="AK60" s="36"/>
      <c r="AL60" s="35"/>
      <c r="AM60" s="35"/>
      <c r="AN60" s="35"/>
      <c r="AO60" s="36"/>
      <c r="AP60" s="35"/>
      <c r="AQ60" s="35"/>
      <c r="AR60" s="35"/>
      <c r="AS60" s="36"/>
      <c r="AT60" s="35"/>
      <c r="AU60" s="35"/>
      <c r="AV60" s="35"/>
      <c r="AW60" s="36"/>
      <c r="AX60" s="35"/>
      <c r="AY60" s="35"/>
      <c r="AZ60" s="35"/>
      <c r="BA60" s="36"/>
      <c r="BB60" s="35"/>
      <c r="BC60" s="35"/>
      <c r="BD60" s="35"/>
      <c r="BE60" s="36"/>
      <c r="BF60" s="35"/>
      <c r="BG60" s="35"/>
      <c r="BH60" s="35"/>
      <c r="BI60" s="36"/>
      <c r="BJ60" s="37"/>
      <c r="BK60" s="35"/>
      <c r="BL60" s="35"/>
      <c r="BM60" s="36"/>
      <c r="BN60" s="37"/>
      <c r="BO60" s="35"/>
      <c r="BP60" s="35"/>
      <c r="BR60" s="37"/>
      <c r="BS60" s="35"/>
      <c r="BT60" s="35"/>
      <c r="BV60" s="37"/>
      <c r="BW60" s="37"/>
      <c r="BY60" s="37"/>
      <c r="CA60" s="37"/>
      <c r="CC60" s="37"/>
      <c r="CE60" s="37"/>
      <c r="CG60" s="37"/>
    </row>
    <row r="61" spans="1:85" ht="15.75" customHeight="1" x14ac:dyDescent="0.25">
      <c r="A61" s="6" t="s">
        <v>4</v>
      </c>
      <c r="B61" s="6"/>
      <c r="C61" s="6"/>
      <c r="D61" s="6"/>
      <c r="F61" s="50" t="s">
        <v>88</v>
      </c>
      <c r="G61" s="50"/>
      <c r="H61" s="50"/>
      <c r="J61" s="6"/>
      <c r="K61" s="6"/>
      <c r="L61" s="6"/>
      <c r="N61" s="50" t="s">
        <v>81</v>
      </c>
      <c r="O61" s="50"/>
      <c r="P61" s="50"/>
      <c r="R61" s="52" t="s">
        <v>84</v>
      </c>
      <c r="S61" s="50"/>
      <c r="T61" s="50"/>
      <c r="V61" s="50" t="s">
        <v>81</v>
      </c>
      <c r="W61" s="50"/>
      <c r="X61" s="50"/>
      <c r="Z61" s="50" t="s">
        <v>82</v>
      </c>
      <c r="AA61" s="50"/>
      <c r="AB61" s="50"/>
      <c r="AD61" s="6" t="s">
        <v>58</v>
      </c>
      <c r="AE61" s="6"/>
      <c r="AF61" s="6"/>
      <c r="AH61" s="6" t="s">
        <v>62</v>
      </c>
      <c r="AI61" s="6"/>
      <c r="AJ61" s="6"/>
      <c r="AL61" s="6"/>
      <c r="AM61" s="6"/>
      <c r="AN61" s="6"/>
      <c r="AP61" s="6" t="s">
        <v>8</v>
      </c>
      <c r="AQ61" s="6"/>
      <c r="AR61" s="6"/>
      <c r="AT61" s="6" t="s">
        <v>8</v>
      </c>
      <c r="AU61" s="6"/>
      <c r="AV61" s="6"/>
      <c r="AX61" s="6" t="s">
        <v>8</v>
      </c>
      <c r="AY61" s="6"/>
      <c r="AZ61" s="6"/>
      <c r="BB61" s="6" t="s">
        <v>7</v>
      </c>
      <c r="BC61" s="6"/>
      <c r="BD61" s="6"/>
      <c r="BF61" s="6"/>
      <c r="BG61" s="6"/>
      <c r="BH61" s="6"/>
      <c r="BJ61" s="30"/>
      <c r="BK61" s="6"/>
      <c r="BL61" s="6"/>
      <c r="BN61" s="30" t="s">
        <v>49</v>
      </c>
      <c r="BO61" s="6"/>
      <c r="BP61" s="6"/>
      <c r="BR61" s="30" t="s">
        <v>54</v>
      </c>
      <c r="BS61" s="6"/>
      <c r="BT61" s="6"/>
      <c r="BV61" s="30" t="s">
        <v>96</v>
      </c>
      <c r="BW61" s="30"/>
      <c r="BY61" s="30"/>
      <c r="CA61" s="30" t="s">
        <v>104</v>
      </c>
      <c r="CC61" s="30"/>
      <c r="CE61" s="30" t="s">
        <v>116</v>
      </c>
      <c r="CG61" s="30"/>
    </row>
    <row r="62" spans="1:85" x14ac:dyDescent="0.25">
      <c r="A62" s="6"/>
      <c r="B62" s="6"/>
      <c r="C62" s="6"/>
      <c r="D62" s="6"/>
      <c r="F62" s="50"/>
      <c r="G62" s="50"/>
      <c r="H62" s="50"/>
      <c r="J62" s="6"/>
      <c r="K62" s="6"/>
      <c r="L62" s="6"/>
      <c r="N62" s="50"/>
      <c r="O62" s="50"/>
      <c r="P62" s="50"/>
      <c r="R62" s="50"/>
      <c r="S62" s="50"/>
      <c r="T62" s="50"/>
      <c r="V62" s="50"/>
      <c r="W62" s="50"/>
      <c r="X62" s="50"/>
      <c r="Z62" s="50"/>
      <c r="AA62" s="50"/>
      <c r="AB62" s="50"/>
      <c r="AD62" s="6" t="s">
        <v>59</v>
      </c>
      <c r="AE62" s="6"/>
      <c r="AF62" s="6"/>
      <c r="AH62" s="6" t="s">
        <v>63</v>
      </c>
      <c r="AI62" s="6"/>
      <c r="AJ62" s="6"/>
      <c r="AL62" s="6"/>
      <c r="AM62" s="6"/>
      <c r="AN62" s="6"/>
      <c r="AP62" s="6" t="s">
        <v>42</v>
      </c>
      <c r="AQ62" s="6"/>
      <c r="AR62" s="6"/>
      <c r="AT62" s="6"/>
      <c r="AU62" s="6"/>
      <c r="AV62" s="6"/>
      <c r="AX62" s="6"/>
      <c r="AY62" s="6"/>
      <c r="AZ62" s="6"/>
      <c r="BB62" s="6" t="s">
        <v>9</v>
      </c>
      <c r="BC62" s="6"/>
      <c r="BD62" s="6"/>
      <c r="BF62" s="6" t="s">
        <v>25</v>
      </c>
      <c r="BG62" s="6"/>
      <c r="BH62" s="6"/>
      <c r="BJ62" s="30"/>
      <c r="BK62" s="6"/>
      <c r="BL62" s="6"/>
      <c r="BN62" s="30" t="s">
        <v>50</v>
      </c>
      <c r="BO62" s="6"/>
      <c r="BP62" s="6"/>
      <c r="BR62" s="30" t="s">
        <v>55</v>
      </c>
      <c r="BS62" s="6"/>
      <c r="BT62" s="6"/>
      <c r="BV62" s="30"/>
      <c r="BW62" s="30"/>
      <c r="BY62" s="30" t="s">
        <v>113</v>
      </c>
      <c r="CA62" s="30"/>
      <c r="CC62" s="30"/>
      <c r="CE62" s="30"/>
      <c r="CG62" s="30"/>
    </row>
    <row r="63" spans="1:85" x14ac:dyDescent="0.25">
      <c r="A63" s="6"/>
      <c r="B63" s="6"/>
      <c r="C63" s="6"/>
      <c r="D63" s="6"/>
      <c r="F63" s="50"/>
      <c r="G63" s="50"/>
      <c r="H63" s="50"/>
      <c r="J63" s="6"/>
      <c r="K63" s="6"/>
      <c r="L63" s="6"/>
      <c r="N63" s="50"/>
      <c r="O63" s="50"/>
      <c r="P63" s="50"/>
      <c r="R63" s="50"/>
      <c r="S63" s="50"/>
      <c r="T63" s="50"/>
      <c r="V63" s="50"/>
      <c r="W63" s="50"/>
      <c r="X63" s="50"/>
      <c r="Z63" s="50"/>
      <c r="AA63" s="50"/>
      <c r="AB63" s="50"/>
      <c r="AD63" s="6" t="s">
        <v>60</v>
      </c>
      <c r="AE63" s="6"/>
      <c r="AF63" s="6"/>
      <c r="AH63" s="6" t="s">
        <v>64</v>
      </c>
      <c r="AI63" s="6"/>
      <c r="AJ63" s="6"/>
      <c r="AL63" s="6"/>
      <c r="AM63" s="6"/>
      <c r="AN63" s="6"/>
      <c r="AP63" s="6"/>
      <c r="AQ63" s="6"/>
      <c r="AR63" s="6"/>
      <c r="AT63" s="6"/>
      <c r="AU63" s="6"/>
      <c r="AV63" s="6"/>
      <c r="AX63" s="6"/>
      <c r="AY63" s="6"/>
      <c r="AZ63" s="6"/>
      <c r="BB63" s="6" t="s">
        <v>10</v>
      </c>
      <c r="BC63" s="6"/>
      <c r="BD63" s="6"/>
      <c r="BF63" s="6" t="s">
        <v>24</v>
      </c>
      <c r="BG63" s="6"/>
      <c r="BH63" s="6"/>
      <c r="BJ63" s="30"/>
      <c r="BK63" s="6"/>
      <c r="BL63" s="6"/>
      <c r="BN63" s="30" t="s">
        <v>51</v>
      </c>
      <c r="BO63" s="6"/>
      <c r="BP63" s="6"/>
      <c r="BR63" s="30"/>
      <c r="BS63" s="6"/>
      <c r="BT63" s="6"/>
      <c r="BV63" s="30"/>
      <c r="BW63" s="30"/>
      <c r="BY63" s="30"/>
      <c r="CA63" s="30"/>
      <c r="CC63" s="30"/>
      <c r="CE63" s="30"/>
      <c r="CG63" s="30"/>
    </row>
    <row r="64" spans="1:85" x14ac:dyDescent="0.25">
      <c r="A64" s="6"/>
      <c r="B64" s="6"/>
      <c r="C64" s="6"/>
      <c r="D64" s="6"/>
      <c r="F64" s="50"/>
      <c r="G64" s="50"/>
      <c r="H64" s="50"/>
      <c r="J64" s="6"/>
      <c r="K64" s="6"/>
      <c r="L64" s="6"/>
      <c r="N64" s="50"/>
      <c r="O64" s="50"/>
      <c r="P64" s="50"/>
      <c r="R64" s="50"/>
      <c r="S64" s="50"/>
      <c r="T64" s="50"/>
      <c r="V64" s="50"/>
      <c r="W64" s="50"/>
      <c r="X64" s="50"/>
      <c r="Z64" s="50"/>
      <c r="AA64" s="50"/>
      <c r="AB64" s="50"/>
      <c r="AD64" s="6">
        <f>14000+2659+513+660+707</f>
        <v>18539</v>
      </c>
      <c r="AE64" s="6" t="s">
        <v>61</v>
      </c>
      <c r="AF64" s="6"/>
      <c r="AH64" s="6" t="s">
        <v>71</v>
      </c>
      <c r="AI64" s="6"/>
      <c r="AJ64" s="6"/>
      <c r="AL64" s="6" t="s">
        <v>72</v>
      </c>
      <c r="AM64" s="6"/>
      <c r="AN64" s="6"/>
      <c r="AP64" s="6"/>
      <c r="AQ64" s="6"/>
      <c r="AR64" s="6"/>
      <c r="AT64" s="6"/>
      <c r="AU64" s="6"/>
      <c r="AV64" s="6"/>
      <c r="AX64" s="6"/>
      <c r="AY64" s="6"/>
      <c r="AZ64" s="6"/>
      <c r="BB64" s="6" t="s">
        <v>11</v>
      </c>
      <c r="BC64" s="6"/>
      <c r="BD64" s="6"/>
      <c r="BF64" s="6"/>
      <c r="BG64" s="6"/>
      <c r="BH64" s="6"/>
      <c r="BJ64" s="30"/>
      <c r="BK64" s="6"/>
      <c r="BL64" s="6"/>
      <c r="BN64" s="30"/>
      <c r="BO64" s="6"/>
      <c r="BP64" s="6"/>
      <c r="BR64" s="30"/>
      <c r="BS64" s="6"/>
      <c r="BT64" s="6"/>
      <c r="BV64" s="30"/>
      <c r="BW64" s="30"/>
      <c r="BY64" s="30"/>
      <c r="CA64" s="30"/>
      <c r="CC64" s="30"/>
      <c r="CE64" s="30"/>
      <c r="CG64" s="30"/>
    </row>
    <row r="65" spans="1:85" ht="15" customHeight="1" x14ac:dyDescent="0.25">
      <c r="A65" s="6"/>
      <c r="B65" s="6"/>
      <c r="C65" s="6"/>
      <c r="D65" s="6"/>
      <c r="F65" s="50"/>
      <c r="G65" s="50"/>
      <c r="H65" s="50"/>
      <c r="J65" s="6"/>
      <c r="K65" s="6"/>
      <c r="L65" s="6"/>
      <c r="N65" s="50"/>
      <c r="O65" s="50"/>
      <c r="P65" s="50"/>
      <c r="R65" s="50"/>
      <c r="S65" s="50"/>
      <c r="T65" s="50"/>
      <c r="V65" s="50"/>
      <c r="W65" s="50"/>
      <c r="X65" s="50"/>
      <c r="Z65" s="50"/>
      <c r="AA65" s="50"/>
      <c r="AB65" s="50"/>
      <c r="AD65" s="6"/>
      <c r="AE65" s="6"/>
      <c r="AF65" s="6"/>
      <c r="AH65" s="6"/>
      <c r="AI65" s="6"/>
      <c r="AJ65" s="6"/>
      <c r="AL65" s="6"/>
      <c r="AM65" s="6"/>
      <c r="AN65" s="6"/>
      <c r="AP65" s="6"/>
      <c r="AQ65" s="6"/>
      <c r="AR65" s="6"/>
      <c r="AT65" s="6"/>
      <c r="AU65" s="6"/>
      <c r="AV65" s="6"/>
      <c r="AX65" s="6"/>
      <c r="AY65" s="6"/>
      <c r="AZ65" s="6"/>
      <c r="BB65" s="6" t="s">
        <v>43</v>
      </c>
      <c r="BC65" s="6"/>
      <c r="BD65" s="6"/>
      <c r="BF65" s="51"/>
      <c r="BG65" s="51"/>
      <c r="BH65" s="51"/>
      <c r="BI65" s="51"/>
      <c r="BJ65" s="51"/>
      <c r="BK65" s="51"/>
      <c r="BL65" s="51"/>
      <c r="BM65" s="51"/>
      <c r="BN65" s="30"/>
      <c r="BO65" s="6"/>
      <c r="BP65" s="6"/>
      <c r="BR65" s="30"/>
      <c r="BS65" s="6"/>
      <c r="BT65" s="6"/>
      <c r="BV65" s="30"/>
      <c r="BW65" s="30"/>
      <c r="BY65" s="30"/>
      <c r="CA65" s="30"/>
      <c r="CC65" s="30"/>
      <c r="CE65" s="30"/>
      <c r="CG65" s="30"/>
    </row>
    <row r="66" spans="1:85" x14ac:dyDescent="0.25">
      <c r="A66" s="6"/>
      <c r="B66" s="6"/>
      <c r="C66" s="6"/>
      <c r="D66" s="6"/>
      <c r="F66" s="50"/>
      <c r="G66" s="50"/>
      <c r="H66" s="50"/>
      <c r="J66" s="6"/>
      <c r="K66" s="6"/>
      <c r="L66" s="6"/>
      <c r="N66" s="50"/>
      <c r="O66" s="50"/>
      <c r="P66" s="50"/>
      <c r="R66" s="50"/>
      <c r="S66" s="50"/>
      <c r="T66" s="50"/>
      <c r="V66" s="50"/>
      <c r="W66" s="50"/>
      <c r="X66" s="50"/>
      <c r="Z66" s="50"/>
      <c r="AA66" s="50"/>
      <c r="AB66" s="50"/>
      <c r="AD66" s="6"/>
      <c r="AE66" s="6"/>
      <c r="AF66" s="6"/>
      <c r="AH66" s="6"/>
      <c r="AI66" s="6"/>
      <c r="AJ66" s="6"/>
      <c r="AL66" s="6"/>
      <c r="AM66" s="6"/>
      <c r="AN66" s="6"/>
      <c r="AP66" s="6"/>
      <c r="AQ66" s="6"/>
      <c r="AR66" s="6"/>
      <c r="AT66" s="6"/>
      <c r="AU66" s="6"/>
      <c r="AV66" s="6"/>
      <c r="AX66" s="6"/>
      <c r="AY66" s="6"/>
      <c r="AZ66" s="6"/>
      <c r="BB66" s="6"/>
      <c r="BC66" s="6"/>
      <c r="BD66" s="6"/>
      <c r="BF66" s="51"/>
      <c r="BG66" s="51"/>
      <c r="BH66" s="51"/>
      <c r="BI66" s="51"/>
      <c r="BJ66" s="51"/>
      <c r="BK66" s="51"/>
      <c r="BL66" s="51"/>
      <c r="BM66" s="51"/>
      <c r="BN66" s="30"/>
      <c r="BO66" s="6"/>
      <c r="BP66" s="6"/>
      <c r="BR66" s="30"/>
      <c r="BS66" s="6"/>
      <c r="BT66" s="6"/>
      <c r="BV66" s="30"/>
      <c r="BW66" s="30"/>
      <c r="BY66" s="30"/>
      <c r="CA66" s="30"/>
      <c r="CC66" s="30"/>
      <c r="CE66" s="30"/>
      <c r="CG66" s="30"/>
    </row>
    <row r="67" spans="1:85" x14ac:dyDescent="0.25">
      <c r="A67" s="6"/>
      <c r="B67" s="6"/>
      <c r="C67" s="6"/>
      <c r="D67" s="6"/>
      <c r="F67" s="50"/>
      <c r="G67" s="50"/>
      <c r="H67" s="50"/>
      <c r="J67" s="6"/>
      <c r="K67" s="6"/>
      <c r="L67" s="6"/>
      <c r="N67" s="50"/>
      <c r="O67" s="50"/>
      <c r="P67" s="50"/>
      <c r="R67" s="50"/>
      <c r="S67" s="50"/>
      <c r="T67" s="50"/>
      <c r="V67" s="50"/>
      <c r="W67" s="50"/>
      <c r="X67" s="50"/>
      <c r="Z67" s="50"/>
      <c r="AA67" s="50"/>
      <c r="AB67" s="50"/>
      <c r="AD67" s="6"/>
      <c r="AE67" s="6"/>
      <c r="AF67" s="6"/>
      <c r="AH67" s="6"/>
      <c r="AI67" s="6"/>
      <c r="AJ67" s="6"/>
      <c r="AL67" s="6"/>
      <c r="AM67" s="6"/>
      <c r="AN67" s="6"/>
      <c r="AP67" s="6"/>
      <c r="AQ67" s="6"/>
      <c r="AR67" s="6"/>
      <c r="AT67" s="6"/>
      <c r="AU67" s="6"/>
      <c r="AV67" s="6"/>
      <c r="AX67" s="6"/>
      <c r="AY67" s="6"/>
      <c r="AZ67" s="6"/>
      <c r="BB67" s="6"/>
      <c r="BC67" s="6"/>
      <c r="BD67" s="6"/>
      <c r="BF67" s="51"/>
      <c r="BG67" s="51"/>
      <c r="BH67" s="51"/>
      <c r="BI67" s="51"/>
      <c r="BJ67" s="51"/>
      <c r="BK67" s="51"/>
      <c r="BL67" s="51"/>
      <c r="BM67" s="51"/>
      <c r="BN67" s="30"/>
      <c r="BO67" s="6"/>
      <c r="BP67" s="6"/>
      <c r="BR67" s="30"/>
      <c r="BS67" s="6"/>
      <c r="BT67" s="6"/>
      <c r="BV67" s="30"/>
      <c r="BW67" s="30"/>
      <c r="BY67" s="30"/>
      <c r="CA67" s="30"/>
      <c r="CC67" s="30"/>
      <c r="CE67" s="30"/>
      <c r="CG67" s="30"/>
    </row>
    <row r="68" spans="1:85" x14ac:dyDescent="0.25">
      <c r="N68" s="50"/>
      <c r="O68" s="50"/>
      <c r="P68" s="50"/>
      <c r="R68" s="50"/>
      <c r="S68" s="50"/>
      <c r="T68" s="50"/>
      <c r="V68" s="50"/>
      <c r="W68" s="50"/>
      <c r="X68" s="50"/>
      <c r="Z68" s="50"/>
      <c r="AA68" s="50"/>
      <c r="AB68" s="50"/>
      <c r="BF68" s="51"/>
      <c r="BG68" s="51"/>
      <c r="BH68" s="51"/>
      <c r="BI68" s="51"/>
      <c r="BJ68" s="51"/>
      <c r="BK68" s="51"/>
      <c r="BL68" s="51"/>
      <c r="BM68" s="51"/>
    </row>
    <row r="69" spans="1:85" ht="15" customHeight="1" x14ac:dyDescent="0.25">
      <c r="R69" s="53" t="s">
        <v>85</v>
      </c>
      <c r="S69" s="53"/>
      <c r="T69" s="53"/>
      <c r="BF69" s="51"/>
      <c r="BG69" s="51"/>
      <c r="BH69" s="51"/>
      <c r="BI69" s="51"/>
      <c r="BJ69" s="51"/>
      <c r="BK69" s="51"/>
      <c r="BL69" s="51"/>
      <c r="BM69" s="51"/>
    </row>
    <row r="70" spans="1:85" x14ac:dyDescent="0.25">
      <c r="R70" s="53"/>
      <c r="S70" s="53"/>
      <c r="T70" s="53"/>
      <c r="BF70" s="51"/>
      <c r="BG70" s="51"/>
      <c r="BH70" s="51"/>
      <c r="BI70" s="51"/>
      <c r="BJ70" s="51"/>
      <c r="BK70" s="51"/>
      <c r="BL70" s="51"/>
      <c r="BM70" s="51"/>
    </row>
    <row r="71" spans="1:85" x14ac:dyDescent="0.25">
      <c r="R71" s="53"/>
      <c r="S71" s="53"/>
      <c r="T71" s="53"/>
      <c r="BF71" s="51"/>
      <c r="BG71" s="51"/>
      <c r="BH71" s="51"/>
      <c r="BI71" s="51"/>
      <c r="BJ71" s="51"/>
      <c r="BK71" s="51"/>
      <c r="BL71" s="51"/>
      <c r="BM71" s="51"/>
    </row>
    <row r="72" spans="1:85" x14ac:dyDescent="0.25">
      <c r="R72" s="53"/>
      <c r="S72" s="53"/>
      <c r="T72" s="53"/>
    </row>
    <row r="73" spans="1:85" x14ac:dyDescent="0.25">
      <c r="R73" s="53"/>
      <c r="S73" s="53"/>
      <c r="T73" s="53"/>
    </row>
    <row r="74" spans="1:85" x14ac:dyDescent="0.25">
      <c r="R74" s="53"/>
      <c r="S74" s="53"/>
      <c r="T74" s="53"/>
    </row>
    <row r="75" spans="1:85" x14ac:dyDescent="0.25">
      <c r="R75" s="53"/>
      <c r="S75" s="53"/>
      <c r="T75" s="53"/>
    </row>
    <row r="76" spans="1:85" x14ac:dyDescent="0.25">
      <c r="R76" s="53"/>
      <c r="S76" s="53"/>
      <c r="T76" s="53"/>
    </row>
  </sheetData>
  <mergeCells count="8">
    <mergeCell ref="F61:H67"/>
    <mergeCell ref="BF65:BI71"/>
    <mergeCell ref="BJ65:BM71"/>
    <mergeCell ref="V61:X68"/>
    <mergeCell ref="N61:P68"/>
    <mergeCell ref="Z61:AB68"/>
    <mergeCell ref="R61:T68"/>
    <mergeCell ref="R69:T7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3"/>
  <sheetViews>
    <sheetView zoomScale="130" zoomScaleNormal="130" zoomScalePageLayoutView="130" workbookViewId="0">
      <pane xSplit="1" ySplit="1" topLeftCell="B7" activePane="bottomRight" state="frozen"/>
      <selection pane="topRight" activeCell="B1" sqref="B1"/>
      <selection pane="bottomLeft" activeCell="A2" sqref="A2"/>
      <selection pane="bottomRight" activeCell="A13" sqref="A13"/>
    </sheetView>
  </sheetViews>
  <sheetFormatPr defaultColWidth="8.85546875" defaultRowHeight="15" x14ac:dyDescent="0.25"/>
  <cols>
    <col min="1" max="1" width="39.7109375" customWidth="1"/>
    <col min="2" max="2" width="12.28515625" bestFit="1" customWidth="1"/>
    <col min="3" max="4" width="12.28515625" customWidth="1"/>
    <col min="5" max="8" width="11.28515625" customWidth="1"/>
    <col min="9" max="10" width="12.28515625" bestFit="1" customWidth="1"/>
    <col min="11" max="14" width="13.85546875" bestFit="1" customWidth="1"/>
  </cols>
  <sheetData>
    <row r="1" spans="1:17" s="10" customFormat="1" x14ac:dyDescent="0.25">
      <c r="A1" s="12" t="s">
        <v>138</v>
      </c>
      <c r="B1" s="12">
        <v>1765</v>
      </c>
      <c r="C1" s="12">
        <v>1833</v>
      </c>
      <c r="D1" s="12">
        <v>1834</v>
      </c>
      <c r="E1" s="12">
        <v>1838</v>
      </c>
      <c r="F1" s="12">
        <v>1840</v>
      </c>
      <c r="G1" s="12">
        <v>1850</v>
      </c>
      <c r="H1" s="12">
        <v>1860</v>
      </c>
      <c r="I1" s="12">
        <v>1870</v>
      </c>
      <c r="J1" s="12">
        <v>1880</v>
      </c>
      <c r="K1" s="12">
        <v>1890</v>
      </c>
      <c r="L1" s="12">
        <v>1900</v>
      </c>
      <c r="M1" s="12">
        <v>1910</v>
      </c>
      <c r="N1" s="12">
        <v>1920</v>
      </c>
      <c r="O1" s="31"/>
      <c r="P1" s="12"/>
      <c r="Q1" s="9"/>
    </row>
    <row r="2" spans="1:17" ht="18.75" x14ac:dyDescent="0.3">
      <c r="A2" s="18" t="s">
        <v>74</v>
      </c>
      <c r="B2" s="54" t="s">
        <v>139</v>
      </c>
      <c r="C2" s="54"/>
      <c r="D2" s="54"/>
      <c r="E2" s="54"/>
      <c r="F2" s="54"/>
      <c r="G2" s="54"/>
      <c r="H2" s="54"/>
      <c r="I2" s="54"/>
      <c r="J2" s="54"/>
      <c r="K2" s="54"/>
      <c r="L2" s="54"/>
      <c r="M2" s="54"/>
      <c r="N2" s="54"/>
    </row>
    <row r="3" spans="1:17" x14ac:dyDescent="0.25">
      <c r="A3" s="1" t="s">
        <v>17</v>
      </c>
    </row>
    <row r="4" spans="1:17" x14ac:dyDescent="0.25">
      <c r="A4" s="3" t="s">
        <v>1</v>
      </c>
      <c r="B4" s="39">
        <v>312401</v>
      </c>
      <c r="C4" s="14">
        <f>'1765-2010 Annual Accounts'!I6</f>
        <v>185610</v>
      </c>
      <c r="D4" s="14">
        <f>'1765-2010 Annual Accounts'!M6</f>
        <v>363582</v>
      </c>
      <c r="E4" s="14">
        <f>'1765-2010 Annual Accounts'!Q6</f>
        <v>350208</v>
      </c>
      <c r="F4" s="14">
        <f>'1765-2010 Annual Accounts'!U6</f>
        <v>316128</v>
      </c>
      <c r="G4" s="14">
        <f>'1765-2010 Annual Accounts'!Y6</f>
        <v>383088</v>
      </c>
      <c r="H4" s="14">
        <f>'1765-2010 Annual Accounts'!AC6</f>
        <v>392208</v>
      </c>
      <c r="I4" s="23">
        <f>'1765-2010 Annual Accounts'!AG6</f>
        <v>363888</v>
      </c>
      <c r="J4" s="23">
        <f>'1765-2010 Annual Accounts'!AK6</f>
        <v>354000</v>
      </c>
      <c r="K4" s="23">
        <f>'1765-2010 Annual Accounts'!AO6</f>
        <v>366240</v>
      </c>
      <c r="L4" s="23">
        <f>'1765-2010 Annual Accounts'!AS6</f>
        <v>372000</v>
      </c>
      <c r="M4" s="23">
        <f>'1765-2010 Annual Accounts'!AW6</f>
        <v>414539</v>
      </c>
      <c r="N4" s="23">
        <f>'1765-2010 Annual Accounts'!BA6</f>
        <v>404054</v>
      </c>
    </row>
    <row r="5" spans="1:17" x14ac:dyDescent="0.25">
      <c r="A5" s="3" t="s">
        <v>70</v>
      </c>
      <c r="B5" s="39" t="s">
        <v>86</v>
      </c>
      <c r="C5" s="14">
        <f>'1765-2010 Annual Accounts'!I7</f>
        <v>232238</v>
      </c>
      <c r="D5" s="14">
        <f>'1765-2010 Annual Accounts'!M7</f>
        <v>214238</v>
      </c>
      <c r="E5" s="14">
        <f>'1765-2010 Annual Accounts'!Q7</f>
        <v>205301</v>
      </c>
      <c r="F5" s="14">
        <f>'1765-2010 Annual Accounts'!U7</f>
        <v>221029</v>
      </c>
      <c r="G5" s="14">
        <f>'1765-2010 Annual Accounts'!Y7</f>
        <v>432631</v>
      </c>
      <c r="H5" s="14">
        <f>'1765-2010 Annual Accounts'!AC7</f>
        <v>339305</v>
      </c>
      <c r="I5" s="23">
        <f>'1765-2010 Annual Accounts'!AG7</f>
        <v>415600</v>
      </c>
      <c r="J5" s="23">
        <f>'1765-2010 Annual Accounts'!AK7</f>
        <v>464251</v>
      </c>
      <c r="K5" s="23">
        <f>'1765-2010 Annual Accounts'!AO7</f>
        <v>794435</v>
      </c>
      <c r="L5" s="23">
        <f>'1765-2010 Annual Accounts'!AS7</f>
        <v>801548</v>
      </c>
      <c r="M5" s="23">
        <f>'1765-2010 Annual Accounts'!AW7</f>
        <v>851756</v>
      </c>
      <c r="N5" s="23">
        <f>'1765-2010 Annual Accounts'!BA7</f>
        <v>1221299</v>
      </c>
    </row>
    <row r="6" spans="1:17" x14ac:dyDescent="0.25">
      <c r="A6" s="3" t="s">
        <v>3</v>
      </c>
      <c r="B6" s="23"/>
      <c r="C6" s="14">
        <f>'1765-2010 Annual Accounts'!I19</f>
        <v>137749</v>
      </c>
      <c r="D6" s="14">
        <f>'1765-2010 Annual Accounts'!M19</f>
        <v>43664</v>
      </c>
      <c r="E6" s="14">
        <f>'1765-2010 Annual Accounts'!Q19</f>
        <v>0</v>
      </c>
      <c r="F6" s="14">
        <f>'1765-2010 Annual Accounts'!U19</f>
        <v>218834</v>
      </c>
      <c r="G6" s="14">
        <f>'1765-2010 Annual Accounts'!Y19</f>
        <v>30835</v>
      </c>
      <c r="H6" s="14">
        <f>'1765-2010 Annual Accounts'!AC19</f>
        <v>62628</v>
      </c>
      <c r="I6" s="23">
        <f>'1765-2010 Annual Accounts'!AG19</f>
        <v>66134</v>
      </c>
      <c r="J6" s="23">
        <f>'1765-2010 Annual Accounts'!AK19</f>
        <v>66471</v>
      </c>
      <c r="K6" s="23">
        <f>'1765-2010 Annual Accounts'!AO19</f>
        <v>58891</v>
      </c>
      <c r="L6" s="23">
        <f>'1765-2010 Annual Accounts'!AS19</f>
        <v>70776</v>
      </c>
      <c r="M6" s="23">
        <f>'1765-2010 Annual Accounts'!AW19</f>
        <v>158307</v>
      </c>
      <c r="N6" s="23">
        <f>'1765-2010 Annual Accounts'!BA19</f>
        <v>130861</v>
      </c>
    </row>
    <row r="7" spans="1:17" x14ac:dyDescent="0.25">
      <c r="A7" s="3" t="s">
        <v>41</v>
      </c>
      <c r="B7" s="23"/>
      <c r="C7" s="14">
        <f>'1765-2010 Annual Accounts'!I8</f>
        <v>0</v>
      </c>
      <c r="D7" s="14">
        <f>'1765-2010 Annual Accounts'!M8</f>
        <v>0</v>
      </c>
      <c r="E7" s="14">
        <f>'1765-2010 Annual Accounts'!Q8</f>
        <v>0</v>
      </c>
      <c r="F7" s="14">
        <f>'1765-2010 Annual Accounts'!U8</f>
        <v>309278</v>
      </c>
      <c r="G7" s="14">
        <f>'1765-2010 Annual Accounts'!Y8</f>
        <v>10301</v>
      </c>
      <c r="H7" s="14">
        <f>'1765-2010 Annual Accounts'!AC8</f>
        <v>9874</v>
      </c>
      <c r="I7" s="23">
        <f>'1765-2010 Annual Accounts'!AG8</f>
        <v>0</v>
      </c>
      <c r="J7" s="23">
        <f>'1765-2010 Annual Accounts'!AK8</f>
        <v>0</v>
      </c>
      <c r="K7" s="23">
        <f>'1765-2010 Annual Accounts'!AO8</f>
        <v>481348</v>
      </c>
      <c r="L7" s="23">
        <f>'1765-2010 Annual Accounts'!AS8</f>
        <v>148871</v>
      </c>
      <c r="M7" s="23">
        <f>'1765-2010 Annual Accounts'!AW8</f>
        <v>49200</v>
      </c>
      <c r="N7" s="23">
        <f>'1765-2010 Annual Accounts'!BA8</f>
        <v>0</v>
      </c>
    </row>
    <row r="8" spans="1:17" x14ac:dyDescent="0.25">
      <c r="A8" s="3" t="s">
        <v>52</v>
      </c>
      <c r="B8" s="23"/>
      <c r="C8" s="14">
        <f>'1765-2010 Annual Accounts'!I11</f>
        <v>0</v>
      </c>
      <c r="D8" s="14">
        <f>'1765-2010 Annual Accounts'!M11</f>
        <v>0</v>
      </c>
      <c r="E8" s="14">
        <f>'1765-2010 Annual Accounts'!Q11</f>
        <v>0</v>
      </c>
      <c r="F8" s="14">
        <f>'1765-2010 Annual Accounts'!U11</f>
        <v>0</v>
      </c>
      <c r="G8" s="14">
        <f>'1765-2010 Annual Accounts'!Y11</f>
        <v>0</v>
      </c>
      <c r="H8" s="14">
        <f>'1765-2010 Annual Accounts'!AC11</f>
        <v>17268</v>
      </c>
      <c r="I8" s="23">
        <f>'1765-2010 Annual Accounts'!AG11</f>
        <v>0</v>
      </c>
      <c r="J8" s="23">
        <f>'1765-2010 Annual Accounts'!AK11</f>
        <v>0</v>
      </c>
      <c r="K8" s="23">
        <f>'1765-2010 Annual Accounts'!AO11</f>
        <v>0</v>
      </c>
      <c r="L8" s="23">
        <f>'1765-2010 Annual Accounts'!AS11</f>
        <v>0</v>
      </c>
      <c r="M8" s="23">
        <f>'1765-2010 Annual Accounts'!AW11</f>
        <v>0</v>
      </c>
      <c r="N8" s="23">
        <f>'1765-2010 Annual Accounts'!BA11</f>
        <v>0</v>
      </c>
    </row>
    <row r="9" spans="1:17" x14ac:dyDescent="0.25">
      <c r="A9" s="3" t="s">
        <v>120</v>
      </c>
      <c r="B9" s="23"/>
      <c r="C9" s="14"/>
      <c r="D9" s="14"/>
      <c r="E9" s="14"/>
      <c r="F9" s="14"/>
      <c r="G9" s="14"/>
      <c r="H9" s="14"/>
      <c r="I9" s="23"/>
      <c r="J9" s="23"/>
      <c r="K9" s="23"/>
      <c r="L9" s="23"/>
      <c r="M9" s="23"/>
      <c r="N9" s="23"/>
    </row>
    <row r="10" spans="1:17" x14ac:dyDescent="0.25">
      <c r="A10" s="3" t="s">
        <v>115</v>
      </c>
      <c r="B10" s="23"/>
      <c r="C10" s="14"/>
      <c r="D10" s="14"/>
      <c r="E10" s="14"/>
      <c r="F10" s="14"/>
      <c r="G10" s="14"/>
      <c r="H10" s="14"/>
      <c r="I10" s="23"/>
      <c r="J10" s="23"/>
      <c r="K10" s="23"/>
      <c r="L10" s="23"/>
      <c r="M10" s="23"/>
      <c r="N10" s="23"/>
    </row>
    <row r="11" spans="1:17" x14ac:dyDescent="0.25">
      <c r="A11" s="3" t="s">
        <v>21</v>
      </c>
      <c r="B11" s="23"/>
      <c r="C11" s="14">
        <f>'1765-2010 Annual Accounts'!I14</f>
        <v>0</v>
      </c>
      <c r="D11" s="14">
        <f>'1765-2010 Annual Accounts'!M14</f>
        <v>0</v>
      </c>
      <c r="E11" s="14">
        <f>'1765-2010 Annual Accounts'!Q14</f>
        <v>0</v>
      </c>
      <c r="F11" s="14">
        <f>'1765-2010 Annual Accounts'!U14</f>
        <v>0</v>
      </c>
      <c r="G11" s="14">
        <f>'1765-2010 Annual Accounts'!Y14</f>
        <v>0</v>
      </c>
      <c r="H11" s="14">
        <f>'1765-2010 Annual Accounts'!AC14</f>
        <v>188141</v>
      </c>
      <c r="I11" s="23">
        <f>'1765-2010 Annual Accounts'!AG14</f>
        <v>456</v>
      </c>
      <c r="J11" s="23">
        <f>'1765-2010 Annual Accounts'!AK14</f>
        <v>1545</v>
      </c>
      <c r="K11" s="23">
        <f>'1765-2010 Annual Accounts'!AO14</f>
        <v>14303</v>
      </c>
      <c r="L11" s="23">
        <f>'1765-2010 Annual Accounts'!AS14</f>
        <v>0</v>
      </c>
      <c r="M11" s="23">
        <f>'1765-2010 Annual Accounts'!AW14</f>
        <v>0</v>
      </c>
      <c r="N11" s="23">
        <f>'1765-2010 Annual Accounts'!BA14</f>
        <v>0</v>
      </c>
    </row>
    <row r="12" spans="1:17" x14ac:dyDescent="0.25">
      <c r="A12" s="1" t="s">
        <v>31</v>
      </c>
      <c r="B12" s="23">
        <f>'1765-2010 Annual Accounts'!E15</f>
        <v>312401</v>
      </c>
      <c r="C12" s="14">
        <f>'1765-2010 Annual Accounts'!I15</f>
        <v>417848</v>
      </c>
      <c r="D12" s="14">
        <f>'1765-2010 Annual Accounts'!M15</f>
        <v>577820</v>
      </c>
      <c r="E12" s="14">
        <f>'1765-2010 Annual Accounts'!Q15</f>
        <v>555509</v>
      </c>
      <c r="F12" s="14">
        <f>'1765-2010 Annual Accounts'!U15</f>
        <v>846435</v>
      </c>
      <c r="G12" s="14">
        <f>'1765-2010 Annual Accounts'!Y15</f>
        <v>826020</v>
      </c>
      <c r="H12" s="14">
        <f>'1765-2010 Annual Accounts'!AC15</f>
        <v>741387</v>
      </c>
      <c r="I12" s="23">
        <f>'1765-2010 Annual Accounts'!AG15</f>
        <v>779488</v>
      </c>
      <c r="J12" s="23">
        <f>'1765-2010 Annual Accounts'!AK15</f>
        <v>818251</v>
      </c>
      <c r="K12" s="23">
        <f>'1765-2010 Annual Accounts'!AO15</f>
        <v>1642023</v>
      </c>
      <c r="L12" s="23">
        <f>'1765-2010 Annual Accounts'!AS15</f>
        <v>1322419</v>
      </c>
      <c r="M12" s="23">
        <f>'1765-2010 Annual Accounts'!AW15</f>
        <v>1315495</v>
      </c>
      <c r="N12" s="23">
        <f>'1765-2010 Annual Accounts'!BA15</f>
        <v>1625353</v>
      </c>
    </row>
    <row r="13" spans="1:17" x14ac:dyDescent="0.25">
      <c r="A13" s="1" t="s">
        <v>19</v>
      </c>
      <c r="B13" s="23"/>
      <c r="C13" s="14"/>
      <c r="D13" s="14"/>
      <c r="E13" s="14"/>
      <c r="F13" s="14"/>
      <c r="G13" s="14"/>
      <c r="H13" s="14"/>
      <c r="I13" s="23"/>
      <c r="J13" s="23"/>
      <c r="K13" s="23"/>
      <c r="L13" s="23"/>
      <c r="M13" s="23"/>
      <c r="N13" s="23"/>
    </row>
    <row r="14" spans="1:17" x14ac:dyDescent="0.25">
      <c r="A14" s="3" t="s">
        <v>2</v>
      </c>
      <c r="B14" s="23">
        <f>'1765-2010 Annual Accounts'!E17</f>
        <v>188131</v>
      </c>
      <c r="C14" s="14">
        <f>'1765-2010 Annual Accounts'!I17</f>
        <v>175237.5</v>
      </c>
      <c r="D14" s="14">
        <f>'1765-2010 Annual Accounts'!M17</f>
        <v>211017.5</v>
      </c>
      <c r="E14" s="14">
        <f>'1765-2010 Annual Accounts'!Q17</f>
        <v>66201</v>
      </c>
      <c r="F14" s="14">
        <f>'1765-2010 Annual Accounts'!U17</f>
        <v>143107</v>
      </c>
      <c r="G14" s="14">
        <f>'1765-2010 Annual Accounts'!Y17</f>
        <v>143133</v>
      </c>
      <c r="H14" s="14">
        <f>'1765-2010 Annual Accounts'!AC17</f>
        <v>121995</v>
      </c>
      <c r="I14" s="23">
        <f>'1765-2010 Annual Accounts'!AG17</f>
        <v>77204</v>
      </c>
      <c r="J14" s="23">
        <f>'1765-2010 Annual Accounts'!AK17</f>
        <v>148023</v>
      </c>
      <c r="K14" s="23">
        <f>'1765-2010 Annual Accounts'!AO17</f>
        <v>209996</v>
      </c>
      <c r="L14" s="23">
        <f>'1765-2010 Annual Accounts'!AS17</f>
        <v>288289</v>
      </c>
      <c r="M14" s="23">
        <f>'1765-2010 Annual Accounts'!AW17</f>
        <v>388778</v>
      </c>
      <c r="N14" s="23">
        <f>'1765-2010 Annual Accounts'!BA17</f>
        <v>596735</v>
      </c>
    </row>
    <row r="15" spans="1:17" x14ac:dyDescent="0.25">
      <c r="A15" s="3" t="s">
        <v>66</v>
      </c>
      <c r="B15" s="23">
        <f>'1765-2010 Annual Accounts'!E18</f>
        <v>55680</v>
      </c>
      <c r="C15" s="14">
        <f>'1765-2010 Annual Accounts'!I18</f>
        <v>170124</v>
      </c>
      <c r="D15" s="14">
        <f>'1765-2010 Annual Accounts'!M18</f>
        <v>165921</v>
      </c>
      <c r="E15" s="14">
        <f>'1765-2010 Annual Accounts'!Q18</f>
        <v>116460</v>
      </c>
      <c r="F15" s="14">
        <f>'1765-2010 Annual Accounts'!U18</f>
        <v>126060</v>
      </c>
      <c r="G15" s="14">
        <f>'1765-2010 Annual Accounts'!Y18</f>
        <v>162060</v>
      </c>
      <c r="H15" s="14">
        <f>'1765-2010 Annual Accounts'!AC18</f>
        <v>247920</v>
      </c>
      <c r="I15" s="23">
        <f>'1765-2010 Annual Accounts'!AG18</f>
        <v>252952</v>
      </c>
      <c r="J15" s="23">
        <f>'1765-2010 Annual Accounts'!AK18</f>
        <v>261501</v>
      </c>
      <c r="K15" s="23">
        <f>'1765-2010 Annual Accounts'!AO18</f>
        <v>421344</v>
      </c>
      <c r="L15" s="23">
        <f>'1765-2010 Annual Accounts'!AS18</f>
        <v>464901</v>
      </c>
      <c r="M15" s="23">
        <f>'1765-2010 Annual Accounts'!AW18</f>
        <v>564366</v>
      </c>
      <c r="N15" s="23">
        <f>'1765-2010 Annual Accounts'!BA18</f>
        <v>1065815</v>
      </c>
    </row>
    <row r="16" spans="1:17" x14ac:dyDescent="0.25">
      <c r="A16" s="3" t="s">
        <v>3</v>
      </c>
      <c r="B16" s="23">
        <f>'1765-2010 Annual Accounts'!E19</f>
        <v>0</v>
      </c>
      <c r="C16" s="14">
        <f>'1765-2010 Annual Accounts'!I19</f>
        <v>137749</v>
      </c>
      <c r="D16" s="14">
        <f>'1765-2010 Annual Accounts'!M19</f>
        <v>43664</v>
      </c>
      <c r="E16" s="14">
        <f>'1765-2010 Annual Accounts'!Q19</f>
        <v>0</v>
      </c>
      <c r="F16" s="14">
        <f>'1765-2010 Annual Accounts'!U19</f>
        <v>218834</v>
      </c>
      <c r="G16" s="14">
        <f>'1765-2010 Annual Accounts'!Y19</f>
        <v>30835</v>
      </c>
      <c r="H16" s="14">
        <f>'1765-2010 Annual Accounts'!AC19</f>
        <v>62628</v>
      </c>
      <c r="I16" s="23">
        <f>'1765-2010 Annual Accounts'!AG19</f>
        <v>66134</v>
      </c>
      <c r="J16" s="23">
        <f>'1765-2010 Annual Accounts'!AK19</f>
        <v>66471</v>
      </c>
      <c r="K16" s="23">
        <f>'1765-2010 Annual Accounts'!AO19</f>
        <v>58891</v>
      </c>
      <c r="L16" s="23">
        <f>'1765-2010 Annual Accounts'!AS19</f>
        <v>70776</v>
      </c>
      <c r="M16" s="23">
        <f>'1765-2010 Annual Accounts'!AW19</f>
        <v>158307</v>
      </c>
      <c r="N16" s="23">
        <f>'1765-2010 Annual Accounts'!BA19</f>
        <v>130861</v>
      </c>
    </row>
    <row r="17" spans="1:28" x14ac:dyDescent="0.25">
      <c r="A17" s="3" t="s">
        <v>53</v>
      </c>
      <c r="B17" s="23">
        <f>'1765-2010 Annual Accounts'!E21</f>
        <v>0</v>
      </c>
      <c r="C17" s="14">
        <f>'1765-2010 Annual Accounts'!I21</f>
        <v>0</v>
      </c>
      <c r="D17" s="14">
        <f>'1765-2010 Annual Accounts'!M21</f>
        <v>0</v>
      </c>
      <c r="E17" s="14">
        <f>'1765-2010 Annual Accounts'!Q21</f>
        <v>0</v>
      </c>
      <c r="F17" s="14">
        <f>'1765-2010 Annual Accounts'!U21</f>
        <v>0</v>
      </c>
      <c r="G17" s="14">
        <f>'1765-2010 Annual Accounts'!Y21</f>
        <v>0</v>
      </c>
      <c r="H17" s="14">
        <f>'1765-2010 Annual Accounts'!AC21</f>
        <v>14088</v>
      </c>
      <c r="I17" s="23">
        <f>'1765-2010 Annual Accounts'!AG21</f>
        <v>0</v>
      </c>
      <c r="J17" s="23">
        <f>'1765-2010 Annual Accounts'!AK21</f>
        <v>0</v>
      </c>
      <c r="K17" s="23">
        <f>'1765-2010 Annual Accounts'!AO21</f>
        <v>0</v>
      </c>
      <c r="L17" s="23">
        <f>'1765-2010 Annual Accounts'!AS21</f>
        <v>0</v>
      </c>
      <c r="M17" s="23">
        <f>'1765-2010 Annual Accounts'!AW21</f>
        <v>0</v>
      </c>
      <c r="N17" s="23">
        <f>'1765-2010 Annual Accounts'!BA21</f>
        <v>0</v>
      </c>
    </row>
    <row r="18" spans="1:28" x14ac:dyDescent="0.25">
      <c r="A18" s="3" t="s">
        <v>41</v>
      </c>
      <c r="B18" s="23">
        <f>'1765-2010 Annual Accounts'!E23</f>
        <v>55493.5</v>
      </c>
      <c r="C18" s="14">
        <f>'1765-2010 Annual Accounts'!I23</f>
        <v>0</v>
      </c>
      <c r="D18" s="14">
        <f>'1765-2010 Annual Accounts'!M23</f>
        <v>0</v>
      </c>
      <c r="E18" s="14">
        <f>'1765-2010 Annual Accounts'!Q23</f>
        <v>22620</v>
      </c>
      <c r="F18" s="14">
        <f>'1765-2010 Annual Accounts'!U23</f>
        <v>309278</v>
      </c>
      <c r="G18" s="14">
        <f>'1765-2010 Annual Accounts'!Y23</f>
        <v>95916</v>
      </c>
      <c r="H18" s="14">
        <f>'1765-2010 Annual Accounts'!AC23</f>
        <v>162702</v>
      </c>
      <c r="I18" s="23">
        <f>'1765-2010 Annual Accounts'!AG23</f>
        <v>99762</v>
      </c>
      <c r="J18" s="23">
        <f>'1765-2010 Annual Accounts'!AK23</f>
        <v>0</v>
      </c>
      <c r="K18" s="23">
        <f>'1765-2010 Annual Accounts'!AO23</f>
        <v>195912</v>
      </c>
      <c r="L18" s="23">
        <f>'1765-2010 Annual Accounts'!AS23</f>
        <v>252245</v>
      </c>
      <c r="M18" s="23">
        <f>'1765-2010 Annual Accounts'!AW23</f>
        <v>12000</v>
      </c>
      <c r="N18" s="23">
        <f>'1765-2010 Annual Accounts'!BA23</f>
        <v>0</v>
      </c>
    </row>
    <row r="19" spans="1:28" x14ac:dyDescent="0.25">
      <c r="A19" s="2" t="s">
        <v>33</v>
      </c>
      <c r="B19" s="23">
        <f>'1765-2010 Annual Accounts'!E24</f>
        <v>243811</v>
      </c>
      <c r="C19" s="14">
        <f>'1765-2010 Annual Accounts'!I24</f>
        <v>483110.5</v>
      </c>
      <c r="D19" s="14">
        <f>'1765-2010 Annual Accounts'!M24</f>
        <v>420602.5</v>
      </c>
      <c r="E19" s="14">
        <f>'1765-2010 Annual Accounts'!Q24</f>
        <v>182661</v>
      </c>
      <c r="F19" s="14">
        <f>'1765-2010 Annual Accounts'!U24</f>
        <v>488001</v>
      </c>
      <c r="G19" s="14">
        <f>'1765-2010 Annual Accounts'!Y24</f>
        <v>336028</v>
      </c>
      <c r="H19" s="14">
        <f>'1765-2010 Annual Accounts'!AC24</f>
        <v>432543</v>
      </c>
      <c r="I19" s="23">
        <f>'1765-2010 Annual Accounts'!AG24</f>
        <v>396290</v>
      </c>
      <c r="J19" s="23">
        <f>'1765-2010 Annual Accounts'!AK24</f>
        <v>475995</v>
      </c>
      <c r="K19" s="23">
        <f>'1765-2010 Annual Accounts'!AO24</f>
        <v>690231</v>
      </c>
      <c r="L19" s="23">
        <f>'1765-2010 Annual Accounts'!AS24</f>
        <v>823966</v>
      </c>
      <c r="M19" s="23">
        <f>'1765-2010 Annual Accounts'!AW24</f>
        <v>1111451</v>
      </c>
      <c r="N19" s="23">
        <f>'1765-2010 Annual Accounts'!BA24</f>
        <v>1793411</v>
      </c>
    </row>
    <row r="20" spans="1:28" x14ac:dyDescent="0.25">
      <c r="A20" s="12" t="s">
        <v>34</v>
      </c>
      <c r="B20" s="23">
        <f>'1765-2010 Annual Accounts'!E25</f>
        <v>13096.5</v>
      </c>
      <c r="C20" s="14">
        <f>'1765-2010 Annual Accounts'!I25</f>
        <v>-65262.5</v>
      </c>
      <c r="D20" s="14">
        <f>'1765-2010 Annual Accounts'!M25</f>
        <v>157217.5</v>
      </c>
      <c r="E20" s="14">
        <f>'1765-2010 Annual Accounts'!Q25</f>
        <v>350228</v>
      </c>
      <c r="F20" s="14">
        <f>'1765-2010 Annual Accounts'!U25</f>
        <v>49156</v>
      </c>
      <c r="G20" s="14">
        <f>'1765-2010 Annual Accounts'!Y25</f>
        <v>394076</v>
      </c>
      <c r="H20" s="14">
        <f>'1765-2010 Annual Accounts'!AC25</f>
        <v>337463</v>
      </c>
      <c r="I20" s="23">
        <f>'1765-2010 Annual Accounts'!AG25</f>
        <v>283892</v>
      </c>
      <c r="J20" s="23">
        <f>'1765-2010 Annual Accounts'!AK25</f>
        <v>343801</v>
      </c>
      <c r="K20" s="23">
        <f>'1765-2010 Annual Accounts'!AO25</f>
        <v>770183</v>
      </c>
      <c r="L20" s="23">
        <f>'1765-2010 Annual Accounts'!AS25</f>
        <v>246208</v>
      </c>
      <c r="M20" s="23">
        <f>'1765-2010 Annual Accounts'!AW25</f>
        <v>192044</v>
      </c>
      <c r="N20" s="23">
        <f>'1765-2010 Annual Accounts'!BA25</f>
        <v>-168058</v>
      </c>
    </row>
    <row r="21" spans="1:28" x14ac:dyDescent="0.25">
      <c r="A21" s="19" t="s">
        <v>22</v>
      </c>
      <c r="B21" s="23">
        <f>'1765-2010 Annual Accounts'!E26</f>
        <v>0</v>
      </c>
      <c r="C21" s="14">
        <f>'1765-2010 Annual Accounts'!I26</f>
        <v>0</v>
      </c>
      <c r="D21" s="14">
        <f>'1765-2010 Annual Accounts'!M26</f>
        <v>0</v>
      </c>
      <c r="E21" s="14">
        <f>'1765-2010 Annual Accounts'!Q26</f>
        <v>0</v>
      </c>
      <c r="F21" s="14">
        <f>'1765-2010 Annual Accounts'!U26</f>
        <v>0</v>
      </c>
      <c r="G21" s="14">
        <f>'1765-2010 Annual Accounts'!Y26</f>
        <v>0</v>
      </c>
      <c r="H21" s="14">
        <f>'1765-2010 Annual Accounts'!AC26</f>
        <v>0</v>
      </c>
      <c r="I21" s="23">
        <f>'1765-2010 Annual Accounts'!AG26</f>
        <v>0</v>
      </c>
      <c r="J21" s="23">
        <f>'1765-2010 Annual Accounts'!AK26</f>
        <v>0</v>
      </c>
      <c r="K21" s="23">
        <f>'1765-2010 Annual Accounts'!AO26</f>
        <v>0</v>
      </c>
      <c r="L21" s="23">
        <f>'1765-2010 Annual Accounts'!AS26</f>
        <v>0</v>
      </c>
      <c r="M21" s="23">
        <f>'1765-2010 Annual Accounts'!AW26</f>
        <v>0</v>
      </c>
      <c r="N21" s="23">
        <f>'1765-2010 Annual Accounts'!BA26</f>
        <v>0</v>
      </c>
    </row>
    <row r="22" spans="1:28" x14ac:dyDescent="0.25">
      <c r="A22" s="21" t="s">
        <v>40</v>
      </c>
      <c r="B22" s="23">
        <f>'1765-2010 Annual Accounts'!E27</f>
        <v>13096.5</v>
      </c>
      <c r="C22" s="14">
        <f>'1765-2010 Annual Accounts'!I27</f>
        <v>0</v>
      </c>
      <c r="D22" s="14">
        <f>'1765-2010 Annual Accounts'!M27</f>
        <v>0</v>
      </c>
      <c r="E22" s="14">
        <f>'1765-2010 Annual Accounts'!Q27</f>
        <v>350228</v>
      </c>
      <c r="F22" s="14">
        <f>'1765-2010 Annual Accounts'!U27</f>
        <v>49156</v>
      </c>
      <c r="G22" s="14">
        <f>'1765-2010 Annual Accounts'!Y27</f>
        <v>394076</v>
      </c>
      <c r="H22" s="14">
        <f>'1765-2010 Annual Accounts'!AC27</f>
        <v>337463</v>
      </c>
      <c r="I22" s="23">
        <f>'1765-2010 Annual Accounts'!AG27</f>
        <v>283892</v>
      </c>
      <c r="J22" s="23">
        <f>'1765-2010 Annual Accounts'!AK27</f>
        <v>343801</v>
      </c>
      <c r="K22" s="23">
        <f>'1765-2010 Annual Accounts'!AO27</f>
        <v>770183</v>
      </c>
      <c r="L22" s="23">
        <f>'1765-2010 Annual Accounts'!AS27</f>
        <v>246208</v>
      </c>
      <c r="M22" s="23">
        <f>'1765-2010 Annual Accounts'!AW27</f>
        <v>192044</v>
      </c>
      <c r="N22" s="23">
        <f>'1765-2010 Annual Accounts'!BA27</f>
        <v>-168058</v>
      </c>
      <c r="AB22" s="35"/>
    </row>
    <row r="23" spans="1:28" ht="18.75" x14ac:dyDescent="0.3">
      <c r="A23" s="16" t="s">
        <v>35</v>
      </c>
      <c r="B23" s="23"/>
      <c r="C23" s="14"/>
      <c r="D23" s="14"/>
      <c r="E23" s="14"/>
      <c r="F23" s="14"/>
      <c r="G23" s="14"/>
      <c r="H23" s="14"/>
      <c r="I23" s="23"/>
      <c r="J23" s="23"/>
      <c r="K23" s="23"/>
      <c r="L23" s="23"/>
      <c r="M23" s="23"/>
      <c r="N23" s="23"/>
    </row>
    <row r="24" spans="1:28" x14ac:dyDescent="0.25">
      <c r="A24" s="11" t="s">
        <v>18</v>
      </c>
      <c r="B24" s="23"/>
      <c r="C24" s="14"/>
      <c r="D24" s="14"/>
      <c r="E24" s="14"/>
      <c r="F24" s="14"/>
      <c r="G24" s="14"/>
      <c r="H24" s="14"/>
      <c r="I24" s="23"/>
      <c r="J24" s="23"/>
      <c r="K24" s="23"/>
      <c r="L24" s="23"/>
      <c r="M24" s="23"/>
      <c r="N24" s="23"/>
    </row>
    <row r="25" spans="1:28" x14ac:dyDescent="0.25">
      <c r="A25" s="4" t="s">
        <v>5</v>
      </c>
      <c r="B25" s="40" t="s">
        <v>89</v>
      </c>
      <c r="C25" s="14">
        <f>'1765-2010 Annual Accounts'!I30</f>
        <v>0</v>
      </c>
      <c r="D25" s="14">
        <f>'1765-2010 Annual Accounts'!M30</f>
        <v>0</v>
      </c>
      <c r="E25" s="14">
        <f>'1765-2010 Annual Accounts'!Q30</f>
        <v>0</v>
      </c>
      <c r="F25" s="14">
        <f>'1765-2010 Annual Accounts'!U30</f>
        <v>0</v>
      </c>
      <c r="G25" s="14">
        <f>'1765-2010 Annual Accounts'!Y30</f>
        <v>0</v>
      </c>
      <c r="H25" s="14">
        <f>'1765-2010 Annual Accounts'!AC30</f>
        <v>0</v>
      </c>
      <c r="I25" s="23">
        <f>'1765-2010 Annual Accounts'!AG30</f>
        <v>0</v>
      </c>
      <c r="J25" s="23">
        <f>'1765-2010 Annual Accounts'!AK30</f>
        <v>0</v>
      </c>
      <c r="K25" s="23">
        <f>'1765-2010 Annual Accounts'!AO30</f>
        <v>0</v>
      </c>
      <c r="L25" s="23">
        <f>'1765-2010 Annual Accounts'!AS30</f>
        <v>0</v>
      </c>
      <c r="M25" s="23">
        <f>'1765-2010 Annual Accounts'!AW30</f>
        <v>0</v>
      </c>
      <c r="N25" s="23">
        <f>'1765-2010 Annual Accounts'!BA30</f>
        <v>0</v>
      </c>
    </row>
    <row r="26" spans="1:28" x14ac:dyDescent="0.25">
      <c r="A26" s="4" t="s">
        <v>6</v>
      </c>
      <c r="B26" s="23">
        <f>'1765-2010 Annual Accounts'!E31</f>
        <v>0</v>
      </c>
      <c r="C26" s="14">
        <f>'1765-2010 Annual Accounts'!I31</f>
        <v>0</v>
      </c>
      <c r="D26" s="14">
        <f>'1765-2010 Annual Accounts'!M31</f>
        <v>0</v>
      </c>
      <c r="E26" s="14">
        <f>'1765-2010 Annual Accounts'!Q31</f>
        <v>0</v>
      </c>
      <c r="F26" s="14">
        <f>'1765-2010 Annual Accounts'!U31</f>
        <v>0</v>
      </c>
      <c r="G26" s="14">
        <f>'1765-2010 Annual Accounts'!Y31</f>
        <v>0</v>
      </c>
      <c r="H26" s="14">
        <f>'1765-2010 Annual Accounts'!AC31</f>
        <v>0</v>
      </c>
      <c r="I26" s="23">
        <f>'1765-2010 Annual Accounts'!AG31</f>
        <v>0</v>
      </c>
      <c r="J26" s="23">
        <f>'1765-2010 Annual Accounts'!AK31</f>
        <v>0</v>
      </c>
      <c r="K26" s="23">
        <f>'1765-2010 Annual Accounts'!AO31</f>
        <v>0</v>
      </c>
      <c r="L26" s="23">
        <f>'1765-2010 Annual Accounts'!AS31</f>
        <v>0</v>
      </c>
      <c r="M26" s="23">
        <f>'1765-2010 Annual Accounts'!AW31</f>
        <v>0</v>
      </c>
      <c r="N26" s="23">
        <f>'1765-2010 Annual Accounts'!BA31</f>
        <v>0</v>
      </c>
    </row>
    <row r="27" spans="1:28" x14ac:dyDescent="0.25">
      <c r="A27" s="4" t="s">
        <v>23</v>
      </c>
      <c r="B27" s="23">
        <f>'1765-2010 Annual Accounts'!E32</f>
        <v>0</v>
      </c>
      <c r="C27" s="14">
        <f>'1765-2010 Annual Accounts'!I32</f>
        <v>0</v>
      </c>
      <c r="D27" s="14">
        <f>'1765-2010 Annual Accounts'!M32</f>
        <v>0</v>
      </c>
      <c r="E27" s="14">
        <f>'1765-2010 Annual Accounts'!Q32</f>
        <v>0</v>
      </c>
      <c r="F27" s="14">
        <f>'1765-2010 Annual Accounts'!U32</f>
        <v>0</v>
      </c>
      <c r="G27" s="14">
        <f>'1765-2010 Annual Accounts'!Y32</f>
        <v>0</v>
      </c>
      <c r="H27" s="14">
        <f>'1765-2010 Annual Accounts'!AC32</f>
        <v>0</v>
      </c>
      <c r="I27" s="23">
        <f>'1765-2010 Annual Accounts'!AG32</f>
        <v>0</v>
      </c>
      <c r="J27" s="23">
        <f>'1765-2010 Annual Accounts'!AK32</f>
        <v>0</v>
      </c>
      <c r="K27" s="23">
        <f>'1765-2010 Annual Accounts'!AO32</f>
        <v>0</v>
      </c>
      <c r="L27" s="23">
        <f>'1765-2010 Annual Accounts'!AS32</f>
        <v>0</v>
      </c>
      <c r="M27" s="23">
        <f>'1765-2010 Annual Accounts'!AW32</f>
        <v>0</v>
      </c>
      <c r="N27" s="23">
        <f>'1765-2010 Annual Accounts'!BA32</f>
        <v>0</v>
      </c>
    </row>
    <row r="28" spans="1:28" x14ac:dyDescent="0.25">
      <c r="A28" s="11" t="s">
        <v>75</v>
      </c>
      <c r="B28" s="39">
        <f>79*240</f>
        <v>18960</v>
      </c>
      <c r="C28" s="14">
        <f>'1765-2010 Annual Accounts'!I33</f>
        <v>122130</v>
      </c>
      <c r="D28" s="14">
        <f>'1765-2010 Annual Accounts'!M33</f>
        <v>144612</v>
      </c>
      <c r="E28" s="14">
        <f>'1765-2010 Annual Accounts'!Q33</f>
        <v>68910</v>
      </c>
      <c r="F28" s="14">
        <f>'1765-2010 Annual Accounts'!U33</f>
        <v>69108</v>
      </c>
      <c r="G28" s="14">
        <f>'1765-2010 Annual Accounts'!Y33</f>
        <v>71631</v>
      </c>
      <c r="H28" s="14">
        <f>'1765-2010 Annual Accounts'!AC33</f>
        <v>91296</v>
      </c>
      <c r="I28" s="23">
        <f>'1765-2010 Annual Accounts'!AG33</f>
        <v>149508</v>
      </c>
      <c r="J28" s="23">
        <f>'1765-2010 Annual Accounts'!AK33</f>
        <v>189498</v>
      </c>
      <c r="K28" s="23">
        <f>'1765-2010 Annual Accounts'!AO33</f>
        <v>158202</v>
      </c>
      <c r="L28" s="23">
        <f>'1765-2010 Annual Accounts'!AS33</f>
        <v>169992</v>
      </c>
      <c r="M28" s="23">
        <f>'1765-2010 Annual Accounts'!AW33</f>
        <v>236976</v>
      </c>
      <c r="N28" s="23">
        <f>'1765-2010 Annual Accounts'!BA33</f>
        <v>324264</v>
      </c>
    </row>
    <row r="29" spans="1:28" x14ac:dyDescent="0.25">
      <c r="A29" s="4" t="s">
        <v>29</v>
      </c>
      <c r="B29" s="23">
        <f>'1765-2010 Annual Accounts'!E34</f>
        <v>0</v>
      </c>
      <c r="C29" s="14">
        <f>'1765-2010 Annual Accounts'!I34</f>
        <v>0</v>
      </c>
      <c r="D29" s="14">
        <f>'1765-2010 Annual Accounts'!M34</f>
        <v>0</v>
      </c>
      <c r="E29" s="14">
        <f>'1765-2010 Annual Accounts'!Q34</f>
        <v>0</v>
      </c>
      <c r="F29" s="14">
        <f>'1765-2010 Annual Accounts'!U34</f>
        <v>0</v>
      </c>
      <c r="G29" s="14">
        <f>'1765-2010 Annual Accounts'!Y34</f>
        <v>0</v>
      </c>
      <c r="H29" s="14">
        <f>'1765-2010 Annual Accounts'!AC34</f>
        <v>0</v>
      </c>
      <c r="I29" s="23">
        <f>'1765-2010 Annual Accounts'!AG34</f>
        <v>0</v>
      </c>
      <c r="J29" s="23">
        <f>'1765-2010 Annual Accounts'!AK34</f>
        <v>0</v>
      </c>
      <c r="K29" s="23">
        <f>'1765-2010 Annual Accounts'!AO34</f>
        <v>0</v>
      </c>
      <c r="L29" s="23">
        <f>'1765-2010 Annual Accounts'!AS34</f>
        <v>0</v>
      </c>
      <c r="M29" s="23">
        <f>'1765-2010 Annual Accounts'!AW34</f>
        <v>0</v>
      </c>
      <c r="N29" s="23">
        <f>'1765-2010 Annual Accounts'!BA34</f>
        <v>0</v>
      </c>
    </row>
    <row r="30" spans="1:28" x14ac:dyDescent="0.25">
      <c r="A30" s="4" t="s">
        <v>30</v>
      </c>
      <c r="B30" s="23">
        <f>'1765-2010 Annual Accounts'!E35</f>
        <v>0</v>
      </c>
      <c r="C30" s="14">
        <f>'1765-2010 Annual Accounts'!I35</f>
        <v>0</v>
      </c>
      <c r="D30" s="14">
        <f>'1765-2010 Annual Accounts'!M35</f>
        <v>0</v>
      </c>
      <c r="E30" s="14">
        <f>'1765-2010 Annual Accounts'!Q35</f>
        <v>0</v>
      </c>
      <c r="F30" s="14">
        <f>'1765-2010 Annual Accounts'!U35</f>
        <v>0</v>
      </c>
      <c r="G30" s="14">
        <f>'1765-2010 Annual Accounts'!Y35</f>
        <v>0</v>
      </c>
      <c r="H30" s="14">
        <f>'1765-2010 Annual Accounts'!AC35</f>
        <v>0</v>
      </c>
      <c r="I30" s="23">
        <f>'1765-2010 Annual Accounts'!AG35</f>
        <v>0</v>
      </c>
      <c r="J30" s="23">
        <f>'1765-2010 Annual Accounts'!AK35</f>
        <v>0</v>
      </c>
      <c r="K30" s="23">
        <f>'1765-2010 Annual Accounts'!AO35</f>
        <v>0</v>
      </c>
      <c r="L30" s="23">
        <f>'1765-2010 Annual Accounts'!AS35</f>
        <v>0</v>
      </c>
      <c r="M30" s="23">
        <f>'1765-2010 Annual Accounts'!AW35</f>
        <v>0</v>
      </c>
      <c r="N30" s="23">
        <f>'1765-2010 Annual Accounts'!BA35</f>
        <v>0</v>
      </c>
    </row>
    <row r="31" spans="1:28" x14ac:dyDescent="0.25">
      <c r="A31" s="11" t="s">
        <v>36</v>
      </c>
      <c r="B31" s="23">
        <f>'1765-2010 Annual Accounts'!E36</f>
        <v>0</v>
      </c>
      <c r="C31" s="14">
        <f>'1765-2010 Annual Accounts'!I36</f>
        <v>0</v>
      </c>
      <c r="D31" s="14">
        <f>'1765-2010 Annual Accounts'!M36</f>
        <v>0</v>
      </c>
      <c r="E31" s="14">
        <f>'1765-2010 Annual Accounts'!Q36</f>
        <v>0</v>
      </c>
      <c r="F31" s="14">
        <f>'1765-2010 Annual Accounts'!U36</f>
        <v>0</v>
      </c>
      <c r="G31" s="14">
        <f>'1765-2010 Annual Accounts'!Y36</f>
        <v>0</v>
      </c>
      <c r="H31" s="14">
        <f>'1765-2010 Annual Accounts'!AC36</f>
        <v>0</v>
      </c>
      <c r="I31" s="23">
        <f>'1765-2010 Annual Accounts'!AG36</f>
        <v>0</v>
      </c>
      <c r="J31" s="23">
        <f>'1765-2010 Annual Accounts'!AK36</f>
        <v>0</v>
      </c>
      <c r="K31" s="23">
        <f>'1765-2010 Annual Accounts'!AO36</f>
        <v>0</v>
      </c>
      <c r="L31" s="23">
        <f>'1765-2010 Annual Accounts'!AS36</f>
        <v>117200</v>
      </c>
      <c r="M31" s="23">
        <f>'1765-2010 Annual Accounts'!AW36</f>
        <v>185832</v>
      </c>
      <c r="N31" s="23">
        <f>'1765-2010 Annual Accounts'!BA36</f>
        <v>128400</v>
      </c>
    </row>
    <row r="32" spans="1:28" x14ac:dyDescent="0.25">
      <c r="A32" s="11" t="s">
        <v>12</v>
      </c>
      <c r="B32" s="23">
        <f>'1765-2010 Annual Accounts'!E37</f>
        <v>0</v>
      </c>
      <c r="C32" s="14">
        <f>'1765-2010 Annual Accounts'!I37</f>
        <v>122130</v>
      </c>
      <c r="D32" s="14">
        <f>'1765-2010 Annual Accounts'!M37</f>
        <v>144612</v>
      </c>
      <c r="E32" s="14">
        <f>'1765-2010 Annual Accounts'!Q37</f>
        <v>68910</v>
      </c>
      <c r="F32" s="14">
        <f>'1765-2010 Annual Accounts'!U37</f>
        <v>69108</v>
      </c>
      <c r="G32" s="14">
        <f>'1765-2010 Annual Accounts'!Y37</f>
        <v>71631</v>
      </c>
      <c r="H32" s="14">
        <f>'1765-2010 Annual Accounts'!AC37</f>
        <v>91296</v>
      </c>
      <c r="I32" s="23">
        <f>'1765-2010 Annual Accounts'!AG37</f>
        <v>149508</v>
      </c>
      <c r="J32" s="23">
        <f>'1765-2010 Annual Accounts'!AK37</f>
        <v>189498</v>
      </c>
      <c r="K32" s="23">
        <f>'1765-2010 Annual Accounts'!AO37</f>
        <v>158202</v>
      </c>
      <c r="L32" s="23">
        <f>'1765-2010 Annual Accounts'!AS37</f>
        <v>287192</v>
      </c>
      <c r="M32" s="23">
        <f>'1765-2010 Annual Accounts'!AW37</f>
        <v>422808</v>
      </c>
      <c r="N32" s="23">
        <f>'1765-2010 Annual Accounts'!BA37</f>
        <v>452664</v>
      </c>
    </row>
    <row r="33" spans="1:14" x14ac:dyDescent="0.25">
      <c r="A33" s="11" t="s">
        <v>20</v>
      </c>
      <c r="B33" s="23"/>
      <c r="C33" s="14"/>
      <c r="D33" s="14"/>
      <c r="E33" s="14"/>
      <c r="F33" s="14"/>
      <c r="G33" s="14"/>
      <c r="H33" s="14"/>
      <c r="I33" s="23"/>
      <c r="J33" s="23"/>
      <c r="K33" s="23"/>
      <c r="L33" s="23"/>
      <c r="M33" s="23"/>
      <c r="N33" s="23"/>
    </row>
    <row r="34" spans="1:14" x14ac:dyDescent="0.25">
      <c r="A34" s="4" t="s">
        <v>27</v>
      </c>
      <c r="B34" s="23">
        <f>'1765-2010 Annual Accounts'!E39</f>
        <v>0</v>
      </c>
      <c r="C34" s="14">
        <f>'1765-2010 Annual Accounts'!I39</f>
        <v>0</v>
      </c>
      <c r="D34" s="14">
        <f>'1765-2010 Annual Accounts'!M39</f>
        <v>0</v>
      </c>
      <c r="E34" s="14">
        <f>'1765-2010 Annual Accounts'!Q39</f>
        <v>0</v>
      </c>
      <c r="F34" s="14">
        <f>'1765-2010 Annual Accounts'!U39</f>
        <v>0</v>
      </c>
      <c r="G34" s="14">
        <f>'1765-2010 Annual Accounts'!Y39</f>
        <v>0</v>
      </c>
      <c r="H34" s="14">
        <f>'1765-2010 Annual Accounts'!AC39</f>
        <v>0</v>
      </c>
      <c r="I34" s="23">
        <f>'1765-2010 Annual Accounts'!AG39</f>
        <v>0</v>
      </c>
      <c r="J34" s="23">
        <f>'1765-2010 Annual Accounts'!AK39</f>
        <v>0</v>
      </c>
      <c r="K34" s="23">
        <f>'1765-2010 Annual Accounts'!AO39</f>
        <v>0</v>
      </c>
      <c r="L34" s="23">
        <f>'1765-2010 Annual Accounts'!AS39</f>
        <v>0</v>
      </c>
      <c r="M34" s="23">
        <f>'1765-2010 Annual Accounts'!AW39</f>
        <v>0</v>
      </c>
      <c r="N34" s="23">
        <f>'1765-2010 Annual Accounts'!BA39</f>
        <v>0</v>
      </c>
    </row>
    <row r="35" spans="1:14" x14ac:dyDescent="0.25">
      <c r="A35" s="4" t="s">
        <v>26</v>
      </c>
      <c r="B35" s="23">
        <f>'1765-2010 Annual Accounts'!E40</f>
        <v>0</v>
      </c>
      <c r="C35" s="14">
        <f>'1765-2010 Annual Accounts'!I40</f>
        <v>0</v>
      </c>
      <c r="D35" s="14">
        <f>'1765-2010 Annual Accounts'!M40</f>
        <v>0</v>
      </c>
      <c r="E35" s="14">
        <f>'1765-2010 Annual Accounts'!Q40</f>
        <v>0</v>
      </c>
      <c r="F35" s="14">
        <f>'1765-2010 Annual Accounts'!U40</f>
        <v>0</v>
      </c>
      <c r="G35" s="14">
        <f>'1765-2010 Annual Accounts'!Y40</f>
        <v>0</v>
      </c>
      <c r="H35" s="14">
        <f>'1765-2010 Annual Accounts'!AC40</f>
        <v>0</v>
      </c>
      <c r="I35" s="23">
        <f>'1765-2010 Annual Accounts'!AG40</f>
        <v>0</v>
      </c>
      <c r="J35" s="23">
        <f>'1765-2010 Annual Accounts'!AK40</f>
        <v>0</v>
      </c>
      <c r="K35" s="23">
        <f>'1765-2010 Annual Accounts'!AO40</f>
        <v>0</v>
      </c>
      <c r="L35" s="23">
        <f>'1765-2010 Annual Accounts'!AS40</f>
        <v>0</v>
      </c>
      <c r="M35" s="23">
        <f>'1765-2010 Annual Accounts'!AW40</f>
        <v>0</v>
      </c>
      <c r="N35" s="23">
        <f>'1765-2010 Annual Accounts'!BA40</f>
        <v>0</v>
      </c>
    </row>
    <row r="36" spans="1:14" x14ac:dyDescent="0.25">
      <c r="A36" s="4" t="s">
        <v>23</v>
      </c>
      <c r="B36" s="23">
        <f>'1765-2010 Annual Accounts'!E46</f>
        <v>0</v>
      </c>
      <c r="C36" s="14">
        <f>'1765-2010 Annual Accounts'!I46</f>
        <v>0</v>
      </c>
      <c r="D36" s="14">
        <f>'1765-2010 Annual Accounts'!M46</f>
        <v>0</v>
      </c>
      <c r="E36" s="14">
        <f>'1765-2010 Annual Accounts'!Q46</f>
        <v>0</v>
      </c>
      <c r="F36" s="14">
        <f>'1765-2010 Annual Accounts'!U46</f>
        <v>0</v>
      </c>
      <c r="G36" s="14">
        <f>'1765-2010 Annual Accounts'!Y46</f>
        <v>0</v>
      </c>
      <c r="H36" s="14">
        <f>'1765-2010 Annual Accounts'!AC46</f>
        <v>0</v>
      </c>
      <c r="I36" s="23">
        <f>'1765-2010 Annual Accounts'!AG46</f>
        <v>0</v>
      </c>
      <c r="J36" s="23">
        <f>'1765-2010 Annual Accounts'!AK46</f>
        <v>0</v>
      </c>
      <c r="K36" s="23">
        <f>'1765-2010 Annual Accounts'!AO46</f>
        <v>0</v>
      </c>
      <c r="L36" s="23">
        <f>'1765-2010 Annual Accounts'!AS46</f>
        <v>0</v>
      </c>
      <c r="M36" s="23">
        <f>'1765-2010 Annual Accounts'!AW46</f>
        <v>0</v>
      </c>
      <c r="N36" s="23">
        <f>'1765-2010 Annual Accounts'!BA46</f>
        <v>0</v>
      </c>
    </row>
    <row r="37" spans="1:14" x14ac:dyDescent="0.25">
      <c r="A37" s="11" t="s">
        <v>76</v>
      </c>
      <c r="B37" s="23">
        <f>'1765-2010 Annual Accounts'!E47</f>
        <v>49796</v>
      </c>
      <c r="C37" s="14">
        <f>'1765-2010 Annual Accounts'!I47</f>
        <v>508319</v>
      </c>
      <c r="D37" s="14">
        <f>'1765-2010 Annual Accounts'!M47</f>
        <v>365064</v>
      </c>
      <c r="E37" s="14">
        <f>'1765-2010 Annual Accounts'!Q47</f>
        <v>148769</v>
      </c>
      <c r="F37" s="14">
        <f>'1765-2010 Annual Accounts'!U47</f>
        <v>248676</v>
      </c>
      <c r="G37" s="14">
        <f>'1765-2010 Annual Accounts'!Y47</f>
        <v>288123</v>
      </c>
      <c r="H37" s="14">
        <f>'1765-2010 Annual Accounts'!AC47</f>
        <v>410136</v>
      </c>
      <c r="I37" s="23">
        <f>'1765-2010 Annual Accounts'!AG47</f>
        <v>488814</v>
      </c>
      <c r="J37" s="23">
        <f>'1765-2010 Annual Accounts'!AK47</f>
        <v>509215</v>
      </c>
      <c r="K37" s="23">
        <f>'1765-2010 Annual Accounts'!AO47</f>
        <v>527234</v>
      </c>
      <c r="L37" s="23">
        <f>'1765-2010 Annual Accounts'!AS47</f>
        <v>483972</v>
      </c>
      <c r="M37" s="23">
        <f>'1765-2010 Annual Accounts'!AW47</f>
        <v>615168</v>
      </c>
      <c r="N37" s="23">
        <f>'1765-2010 Annual Accounts'!BA47</f>
        <v>1472169</v>
      </c>
    </row>
    <row r="38" spans="1:14" x14ac:dyDescent="0.25">
      <c r="A38" s="12" t="s">
        <v>38</v>
      </c>
      <c r="B38" s="23">
        <f>'1765-2010 Annual Accounts'!E48</f>
        <v>-49796</v>
      </c>
      <c r="C38" s="14">
        <f>'1765-2010 Annual Accounts'!I48</f>
        <v>-386189</v>
      </c>
      <c r="D38" s="14">
        <f>'1765-2010 Annual Accounts'!M48</f>
        <v>-220452</v>
      </c>
      <c r="E38" s="14">
        <f>'1765-2010 Annual Accounts'!Q48</f>
        <v>-79859</v>
      </c>
      <c r="F38" s="14">
        <f>'1765-2010 Annual Accounts'!U48</f>
        <v>-179568</v>
      </c>
      <c r="G38" s="14">
        <f>'1765-2010 Annual Accounts'!Y48</f>
        <v>-216492</v>
      </c>
      <c r="H38" s="14">
        <f>'1765-2010 Annual Accounts'!AC48</f>
        <v>-318840</v>
      </c>
      <c r="I38" s="23">
        <f>'1765-2010 Annual Accounts'!AG48</f>
        <v>-339306</v>
      </c>
      <c r="J38" s="23">
        <f>'1765-2010 Annual Accounts'!AK48</f>
        <v>-319717</v>
      </c>
      <c r="K38" s="23">
        <f>'1765-2010 Annual Accounts'!AO48</f>
        <v>-369032</v>
      </c>
      <c r="L38" s="23">
        <f>'1765-2010 Annual Accounts'!AS48</f>
        <v>-313980</v>
      </c>
      <c r="M38" s="23">
        <f>'1765-2010 Annual Accounts'!AW48</f>
        <v>-378192</v>
      </c>
      <c r="N38" s="23">
        <f>'1765-2010 Annual Accounts'!BA48</f>
        <v>-1147905</v>
      </c>
    </row>
    <row r="39" spans="1:14" x14ac:dyDescent="0.25">
      <c r="A39" s="12" t="s">
        <v>39</v>
      </c>
      <c r="B39" s="23">
        <f>'1765-2010 Annual Accounts'!E49</f>
        <v>-49796</v>
      </c>
      <c r="C39" s="14">
        <f>'1765-2010 Annual Accounts'!I49</f>
        <v>-386189</v>
      </c>
      <c r="D39" s="14">
        <f>'1765-2010 Annual Accounts'!M49</f>
        <v>-220452</v>
      </c>
      <c r="E39" s="14">
        <f>'1765-2010 Annual Accounts'!Q49</f>
        <v>-79859</v>
      </c>
      <c r="F39" s="14">
        <f>'1765-2010 Annual Accounts'!U49</f>
        <v>-179568</v>
      </c>
      <c r="G39" s="14">
        <f>'1765-2010 Annual Accounts'!Y49</f>
        <v>-216492</v>
      </c>
      <c r="H39" s="14">
        <f>'1765-2010 Annual Accounts'!AC49</f>
        <v>-318840</v>
      </c>
      <c r="I39" s="23">
        <f>'1765-2010 Annual Accounts'!AG49</f>
        <v>-339306</v>
      </c>
      <c r="J39" s="23">
        <f>'1765-2010 Annual Accounts'!AK49</f>
        <v>-319717</v>
      </c>
      <c r="K39" s="23">
        <f>'1765-2010 Annual Accounts'!AO49</f>
        <v>-369032</v>
      </c>
      <c r="L39" s="23">
        <f>'1765-2010 Annual Accounts'!AS49</f>
        <v>-196780</v>
      </c>
      <c r="M39" s="23">
        <f>'1765-2010 Annual Accounts'!AW49</f>
        <v>-192360</v>
      </c>
      <c r="N39" s="23">
        <f>'1765-2010 Annual Accounts'!BA49</f>
        <v>-1019505</v>
      </c>
    </row>
    <row r="40" spans="1:14" x14ac:dyDescent="0.25">
      <c r="A40" s="19" t="s">
        <v>16</v>
      </c>
      <c r="B40" s="23">
        <f>'1765-2010 Annual Accounts'!E50</f>
        <v>0</v>
      </c>
      <c r="C40" s="14">
        <f>'1765-2010 Annual Accounts'!I50</f>
        <v>0</v>
      </c>
      <c r="D40" s="14">
        <f>'1765-2010 Annual Accounts'!M50</f>
        <v>0</v>
      </c>
      <c r="E40" s="14">
        <f>'1765-2010 Annual Accounts'!Q50</f>
        <v>0</v>
      </c>
      <c r="F40" s="14">
        <f>'1765-2010 Annual Accounts'!U50</f>
        <v>0</v>
      </c>
      <c r="G40" s="14">
        <f>'1765-2010 Annual Accounts'!Y50</f>
        <v>0</v>
      </c>
      <c r="H40" s="14">
        <f>'1765-2010 Annual Accounts'!AC50</f>
        <v>0</v>
      </c>
      <c r="I40" s="23">
        <f>'1765-2010 Annual Accounts'!AG50</f>
        <v>0</v>
      </c>
      <c r="J40" s="23">
        <f>'1765-2010 Annual Accounts'!AK50</f>
        <v>0</v>
      </c>
      <c r="K40" s="23">
        <f>'1765-2010 Annual Accounts'!AO50</f>
        <v>0</v>
      </c>
      <c r="L40" s="23">
        <f>'1765-2010 Annual Accounts'!AS50</f>
        <v>0</v>
      </c>
      <c r="M40" s="23">
        <f>'1765-2010 Annual Accounts'!AW50</f>
        <v>0</v>
      </c>
      <c r="N40" s="23">
        <f>'1765-2010 Annual Accounts'!BA50</f>
        <v>0</v>
      </c>
    </row>
    <row r="41" spans="1:14" x14ac:dyDescent="0.25">
      <c r="A41" s="21" t="s">
        <v>48</v>
      </c>
      <c r="B41" s="23">
        <f>'1765-2010 Annual Accounts'!E51</f>
        <v>-49796</v>
      </c>
      <c r="C41" s="14">
        <f>'1765-2010 Annual Accounts'!I51</f>
        <v>-386189</v>
      </c>
      <c r="D41" s="14">
        <f>'1765-2010 Annual Accounts'!M51</f>
        <v>-220452</v>
      </c>
      <c r="E41" s="14">
        <f>'1765-2010 Annual Accounts'!Q51</f>
        <v>-79859</v>
      </c>
      <c r="F41" s="14">
        <f>'1765-2010 Annual Accounts'!U51</f>
        <v>-179568</v>
      </c>
      <c r="G41" s="14">
        <f>'1765-2010 Annual Accounts'!Y51</f>
        <v>-216492</v>
      </c>
      <c r="H41" s="14">
        <f>'1765-2010 Annual Accounts'!AC51</f>
        <v>-318840</v>
      </c>
      <c r="I41" s="23">
        <f>'1765-2010 Annual Accounts'!AG51</f>
        <v>-339306</v>
      </c>
      <c r="J41" s="23">
        <f>'1765-2010 Annual Accounts'!AK51</f>
        <v>-319717</v>
      </c>
      <c r="K41" s="23">
        <f>'1765-2010 Annual Accounts'!AO51</f>
        <v>-369032</v>
      </c>
      <c r="L41" s="23">
        <f>'1765-2010 Annual Accounts'!AS51</f>
        <v>-196780</v>
      </c>
      <c r="M41" s="23">
        <f>'1765-2010 Annual Accounts'!AW51</f>
        <v>-192360</v>
      </c>
      <c r="N41" s="23">
        <f>'1765-2010 Annual Accounts'!BA51</f>
        <v>-1019505</v>
      </c>
    </row>
    <row r="42" spans="1:14" x14ac:dyDescent="0.25">
      <c r="A42" t="s">
        <v>28</v>
      </c>
      <c r="B42" s="23">
        <f>'1765-2010 Annual Accounts'!E52</f>
        <v>0</v>
      </c>
      <c r="C42" s="14">
        <f>'1765-2010 Annual Accounts'!I52</f>
        <v>0</v>
      </c>
      <c r="D42" s="14">
        <f>'1765-2010 Annual Accounts'!M52</f>
        <v>0</v>
      </c>
      <c r="E42" s="14">
        <f>'1765-2010 Annual Accounts'!Q52</f>
        <v>0</v>
      </c>
      <c r="F42" s="14">
        <f>'1765-2010 Annual Accounts'!U52</f>
        <v>0</v>
      </c>
      <c r="G42" s="14">
        <f>'1765-2010 Annual Accounts'!Y52</f>
        <v>0</v>
      </c>
      <c r="H42" s="14">
        <f>'1765-2010 Annual Accounts'!AC52</f>
        <v>0</v>
      </c>
      <c r="I42" s="23">
        <f>'1765-2010 Annual Accounts'!AG52</f>
        <v>0</v>
      </c>
      <c r="J42" s="23">
        <f>'1765-2010 Annual Accounts'!AK52</f>
        <v>0</v>
      </c>
      <c r="K42" s="23">
        <f>'1765-2010 Annual Accounts'!AO52</f>
        <v>0</v>
      </c>
      <c r="L42" s="23">
        <f>'1765-2010 Annual Accounts'!AS52</f>
        <v>0</v>
      </c>
      <c r="M42" s="23">
        <f>'1765-2010 Annual Accounts'!AW52</f>
        <v>0</v>
      </c>
      <c r="N42" s="23">
        <f>'1765-2010 Annual Accounts'!BA52</f>
        <v>0</v>
      </c>
    </row>
    <row r="43" spans="1:14" ht="18.75" x14ac:dyDescent="0.3">
      <c r="A43" s="18" t="s">
        <v>44</v>
      </c>
      <c r="B43" s="23"/>
      <c r="C43" s="14"/>
      <c r="D43" s="14"/>
      <c r="E43" s="14"/>
      <c r="F43" s="14"/>
      <c r="G43" s="14"/>
      <c r="H43" s="14"/>
      <c r="I43" s="23"/>
      <c r="J43" s="23"/>
      <c r="K43" s="23"/>
      <c r="L43" s="23"/>
      <c r="M43" s="23"/>
      <c r="N43" s="23"/>
    </row>
    <row r="44" spans="1:14" x14ac:dyDescent="0.25">
      <c r="A44" s="17" t="s">
        <v>46</v>
      </c>
      <c r="B44" s="23">
        <f>'1765-2010 Annual Accounts'!E54</f>
        <v>-36699.5</v>
      </c>
      <c r="C44" s="14">
        <f>'1765-2010 Annual Accounts'!I54</f>
        <v>-451451.5</v>
      </c>
      <c r="D44" s="14">
        <f>'1765-2010 Annual Accounts'!M54</f>
        <v>-63234.5</v>
      </c>
      <c r="E44" s="14">
        <f>'1765-2010 Annual Accounts'!Q54</f>
        <v>270369</v>
      </c>
      <c r="F44" s="14">
        <f>'1765-2010 Annual Accounts'!U54</f>
        <v>-130412</v>
      </c>
      <c r="G44" s="14">
        <f>'1765-2010 Annual Accounts'!Y54</f>
        <v>177584</v>
      </c>
      <c r="H44" s="14">
        <f>'1765-2010 Annual Accounts'!AC54</f>
        <v>18623</v>
      </c>
      <c r="I44" s="23">
        <f>'1765-2010 Annual Accounts'!AG54</f>
        <v>-55414</v>
      </c>
      <c r="J44" s="23">
        <f>'1765-2010 Annual Accounts'!AK54</f>
        <v>24084</v>
      </c>
      <c r="K44" s="23">
        <f>'1765-2010 Annual Accounts'!AO54</f>
        <v>401151</v>
      </c>
      <c r="L44" s="23">
        <f>'1765-2010 Annual Accounts'!AS54</f>
        <v>-67772</v>
      </c>
      <c r="M44" s="23">
        <f>'1765-2010 Annual Accounts'!AW54</f>
        <v>-186148</v>
      </c>
      <c r="N44" s="23">
        <f>'1765-2010 Annual Accounts'!BA54</f>
        <v>-1315963</v>
      </c>
    </row>
    <row r="45" spans="1:14" x14ac:dyDescent="0.25">
      <c r="A45" s="12" t="s">
        <v>47</v>
      </c>
      <c r="B45" s="23">
        <f>'1765-2010 Annual Accounts'!E55</f>
        <v>-36699.5</v>
      </c>
      <c r="C45" s="14">
        <f>'1765-2010 Annual Accounts'!I55</f>
        <v>-451451.5</v>
      </c>
      <c r="D45" s="14">
        <f>'1765-2010 Annual Accounts'!M55</f>
        <v>-63234.5</v>
      </c>
      <c r="E45" s="14">
        <f>'1765-2010 Annual Accounts'!Q55</f>
        <v>270369</v>
      </c>
      <c r="F45" s="14">
        <f>'1765-2010 Annual Accounts'!U55</f>
        <v>-130412</v>
      </c>
      <c r="G45" s="14">
        <f>'1765-2010 Annual Accounts'!Y55</f>
        <v>177584</v>
      </c>
      <c r="H45" s="14">
        <f>'1765-2010 Annual Accounts'!AC55</f>
        <v>18623</v>
      </c>
      <c r="I45" s="23">
        <f>'1765-2010 Annual Accounts'!AG55</f>
        <v>-55414</v>
      </c>
      <c r="J45" s="23">
        <f>'1765-2010 Annual Accounts'!AK55</f>
        <v>24084</v>
      </c>
      <c r="K45" s="23">
        <f>'1765-2010 Annual Accounts'!AO55</f>
        <v>401151</v>
      </c>
      <c r="L45" s="23">
        <f>'1765-2010 Annual Accounts'!AS55</f>
        <v>49428</v>
      </c>
      <c r="M45" s="23">
        <f>'1765-2010 Annual Accounts'!AW55</f>
        <v>-316</v>
      </c>
      <c r="N45" s="23">
        <f>'1765-2010 Annual Accounts'!BA55</f>
        <v>-1187563</v>
      </c>
    </row>
    <row r="46" spans="1:14" x14ac:dyDescent="0.25">
      <c r="A46" s="20" t="s">
        <v>45</v>
      </c>
      <c r="B46" s="23">
        <f>'1765-2010 Annual Accounts'!E56</f>
        <v>-36699.5</v>
      </c>
      <c r="C46" s="14">
        <f>'1765-2010 Annual Accounts'!I56</f>
        <v>-451451.5</v>
      </c>
      <c r="D46" s="14">
        <f>'1765-2010 Annual Accounts'!M56</f>
        <v>-63234.5</v>
      </c>
      <c r="E46" s="14">
        <f>'1765-2010 Annual Accounts'!Q56</f>
        <v>270369</v>
      </c>
      <c r="F46" s="14">
        <f>'1765-2010 Annual Accounts'!U56</f>
        <v>-130412</v>
      </c>
      <c r="G46" s="14">
        <f>'1765-2010 Annual Accounts'!Y56</f>
        <v>177584</v>
      </c>
      <c r="H46" s="14">
        <f>'1765-2010 Annual Accounts'!AC56</f>
        <v>18623</v>
      </c>
      <c r="I46" s="23">
        <f>'1765-2010 Annual Accounts'!AG56</f>
        <v>-55414</v>
      </c>
      <c r="J46" s="23">
        <f>'1765-2010 Annual Accounts'!AK56</f>
        <v>24084</v>
      </c>
      <c r="K46" s="23">
        <f>'1765-2010 Annual Accounts'!AO56</f>
        <v>401151</v>
      </c>
      <c r="L46" s="23">
        <f>'1765-2010 Annual Accounts'!AS56</f>
        <v>49428</v>
      </c>
      <c r="M46" s="23">
        <f>'1765-2010 Annual Accounts'!AW56</f>
        <v>-316</v>
      </c>
      <c r="N46" s="23">
        <f>'1765-2010 Annual Accounts'!BA56</f>
        <v>-1187563</v>
      </c>
    </row>
    <row r="47" spans="1:14" x14ac:dyDescent="0.25">
      <c r="A47" s="7" t="s">
        <v>57</v>
      </c>
      <c r="B47" s="23"/>
      <c r="C47" s="23"/>
      <c r="D47" s="23"/>
      <c r="E47" s="14"/>
      <c r="F47" s="14"/>
      <c r="G47" s="14"/>
      <c r="H47" s="14"/>
      <c r="I47" s="23">
        <f>'1765-2010 Annual Accounts'!AG57</f>
        <v>0</v>
      </c>
      <c r="J47" s="23">
        <f>'1765-2010 Annual Accounts'!AK57</f>
        <v>0</v>
      </c>
      <c r="K47" s="23">
        <f>'1765-2010 Annual Accounts'!AO57</f>
        <v>0</v>
      </c>
      <c r="L47" s="23">
        <f>'1765-2010 Annual Accounts'!AS57</f>
        <v>0</v>
      </c>
      <c r="M47" s="23">
        <f>'1765-2010 Annual Accounts'!AW57</f>
        <v>0</v>
      </c>
      <c r="N47" s="23">
        <f>'1765-2010 Annual Accounts'!BA57</f>
        <v>0</v>
      </c>
    </row>
    <row r="49" spans="1:14" x14ac:dyDescent="0.25">
      <c r="A49" t="s">
        <v>91</v>
      </c>
      <c r="B49" s="41">
        <f>B28/(B$28+B$4)%</f>
        <v>5.7218562232731065</v>
      </c>
      <c r="C49" s="41">
        <f>C28/(C28+C4+C5)%</f>
        <v>22.617588123960608</v>
      </c>
      <c r="D49" s="41">
        <f>D28/(D28+D4+D5)%</f>
        <v>20.017385719347981</v>
      </c>
      <c r="E49" s="41">
        <f>E28/(E28+E4+E5)%</f>
        <v>11.03585893446548</v>
      </c>
      <c r="F49" s="41">
        <f>F28/(F28+F4+F5)%</f>
        <v>11.398975695446712</v>
      </c>
      <c r="G49" s="41">
        <f>G28/(G28+G4+G5)%</f>
        <v>8.0724629514847575</v>
      </c>
      <c r="H49" s="41">
        <f>H28/(H28+H4+H5)%</f>
        <v>11.095649172529711</v>
      </c>
      <c r="I49" s="41">
        <f>I28/(I28+I4+I5)%</f>
        <v>16.093503093662406</v>
      </c>
      <c r="J49" s="41">
        <f>J28/(J28+J4+J5)%</f>
        <v>18.804087128838631</v>
      </c>
      <c r="K49" s="41">
        <f>K28/(K28+K4+K5)%</f>
        <v>11.99520501153633</v>
      </c>
      <c r="L49" s="41">
        <f>L28/(L28+L4+L5)%</f>
        <v>12.652544769787278</v>
      </c>
      <c r="M49" s="41">
        <f>M28/(M28+M4+M5)%</f>
        <v>15.764023918508373</v>
      </c>
      <c r="N49" s="41">
        <f>N28/(N28+N4+N5)%</f>
        <v>16.632189809588244</v>
      </c>
    </row>
    <row r="50" spans="1:14" x14ac:dyDescent="0.25">
      <c r="A50" t="s">
        <v>92</v>
      </c>
      <c r="B50" s="41">
        <f>B37/(B37+B14+B15)%</f>
        <v>16.960086101489406</v>
      </c>
      <c r="C50" s="41">
        <f>C37/(C37+C14+C15)%</f>
        <v>59.544408007445405</v>
      </c>
      <c r="D50" s="41">
        <f>D37/(D37+D14+D15)%</f>
        <v>49.199834232364445</v>
      </c>
      <c r="E50" s="41">
        <f>E37/(E37+E14+E15)%</f>
        <v>44.887004797393111</v>
      </c>
      <c r="F50" s="41">
        <f>F37/(F37+F14+F15)%</f>
        <v>48.021504587297692</v>
      </c>
      <c r="G50" s="41">
        <f>G37/(G37+G14+G15)%</f>
        <v>48.561474829601764</v>
      </c>
      <c r="H50" s="41">
        <f>H37/(H37+H14+H15)%</f>
        <v>52.578100662648978</v>
      </c>
      <c r="I50" s="41">
        <f>I37/(I37+I14+I15)%</f>
        <v>59.686435400564122</v>
      </c>
      <c r="J50" s="41">
        <f>J37/(J37+J14+J15)%</f>
        <v>55.425425501693084</v>
      </c>
      <c r="K50" s="41">
        <f>K37/(K37+K14+K15)%</f>
        <v>45.507149305957149</v>
      </c>
      <c r="L50" s="41">
        <f>L37/(L37+L14+L15)%</f>
        <v>39.119533254335323</v>
      </c>
      <c r="M50" s="41">
        <f>M37/(M37+M14+M15)%</f>
        <v>39.224848116956316</v>
      </c>
      <c r="N50" s="41">
        <f>N37/(N37+N14+N15)%</f>
        <v>46.96334822993704</v>
      </c>
    </row>
    <row r="52" spans="1:14" x14ac:dyDescent="0.25">
      <c r="A52" t="s">
        <v>93</v>
      </c>
      <c r="B52" s="41"/>
      <c r="C52" s="41">
        <f>C4/(C4+C5+C28)%</f>
        <v>34.373622629070077</v>
      </c>
      <c r="D52" s="41">
        <f>D4/(D4+D5+D28)%</f>
        <v>50.3275048724309</v>
      </c>
      <c r="E52" s="41">
        <f>E4/(E4+E5+E28)%</f>
        <v>56.08541700364659</v>
      </c>
      <c r="F52" s="41">
        <f>F4/(F4+F5+F28)%</f>
        <v>52.143534592958531</v>
      </c>
      <c r="G52" s="41">
        <f>G4/(G4+G5+G28)%</f>
        <v>43.172141770440078</v>
      </c>
      <c r="H52" s="41">
        <f>H4/(H4+H5+H28)%</f>
        <v>47.666955514584792</v>
      </c>
      <c r="I52" s="41">
        <f>I4/(I4+I5+I28)%</f>
        <v>39.170028719176408</v>
      </c>
      <c r="J52" s="41">
        <f>J4/(J4+J5+J28)%</f>
        <v>35.127794718724601</v>
      </c>
      <c r="K52" s="41">
        <f>K4/(K4+K5+K28)%</f>
        <v>27.769079300040868</v>
      </c>
      <c r="L52" s="41">
        <f>L4/(L4+L5+L28)%</f>
        <v>27.688047992616521</v>
      </c>
      <c r="M52" s="41">
        <f>M4/(M4+M5+M28)%</f>
        <v>27.575799706107549</v>
      </c>
      <c r="N52" s="41">
        <f>N4/(N4+N5+N28)%</f>
        <v>20.724788509743199</v>
      </c>
    </row>
    <row r="53" spans="1:14" x14ac:dyDescent="0.25">
      <c r="A53" t="s">
        <v>94</v>
      </c>
      <c r="C53" s="41">
        <f>C5/(C4+C5+C28)%</f>
        <v>43.008789246969322</v>
      </c>
      <c r="D53" s="41">
        <f>D5/(D4+D5+D28)%</f>
        <v>29.655109408221122</v>
      </c>
      <c r="E53" s="41">
        <f>E5/(E4+E5+E28)%</f>
        <v>32.878724061887937</v>
      </c>
      <c r="F53" s="41">
        <f>F5/(F4+F5+F28)%</f>
        <v>36.457489711594768</v>
      </c>
      <c r="G53" s="41">
        <f>G5/(G4+G5+G28)%</f>
        <v>48.75539527807517</v>
      </c>
      <c r="H53" s="41">
        <f>H5/(H4+H5+H28)%</f>
        <v>41.237395312885489</v>
      </c>
      <c r="I53" s="41">
        <f>I5/(I4+I5+I28)%</f>
        <v>44.736468187161201</v>
      </c>
      <c r="J53" s="41">
        <f>J5/(J4+J5+J28)%</f>
        <v>46.068118152436767</v>
      </c>
      <c r="K53" s="41">
        <f>K5/(K4+K5+K28)%</f>
        <v>60.2357156884228</v>
      </c>
      <c r="L53" s="41">
        <f>L5/(L4+L5+L28)%</f>
        <v>59.659407237596206</v>
      </c>
      <c r="M53" s="41">
        <f>M5/(M4+M5+M28)%</f>
        <v>56.660176375384083</v>
      </c>
      <c r="N53" s="41">
        <f>N5/(N4+N5+N28)%</f>
        <v>62.643021680668568</v>
      </c>
    </row>
  </sheetData>
  <mergeCells count="1">
    <mergeCell ref="B2:N2"/>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8"/>
  <sheetViews>
    <sheetView zoomScale="110" zoomScaleNormal="110" zoomScalePageLayoutView="130" workbookViewId="0">
      <pane xSplit="1" ySplit="1" topLeftCell="B23" activePane="bottomRight" state="frozen"/>
      <selection pane="topRight" activeCell="B1" sqref="B1"/>
      <selection pane="bottomLeft" activeCell="A2" sqref="A2"/>
      <selection pane="bottomRight" activeCell="P2" sqref="P2"/>
    </sheetView>
  </sheetViews>
  <sheetFormatPr defaultColWidth="8.85546875" defaultRowHeight="15" x14ac:dyDescent="0.25"/>
  <cols>
    <col min="1" max="1" width="39.7109375" customWidth="1"/>
    <col min="2" max="2" width="12.28515625" style="44" bestFit="1" customWidth="1"/>
    <col min="3" max="9" width="13.85546875" style="44" bestFit="1" customWidth="1"/>
    <col min="10" max="10" width="15.140625" style="44" bestFit="1" customWidth="1"/>
    <col min="11" max="11" width="13.42578125" style="44" customWidth="1"/>
    <col min="12" max="15" width="13.42578125" customWidth="1"/>
  </cols>
  <sheetData>
    <row r="1" spans="1:18" s="10" customFormat="1" x14ac:dyDescent="0.25">
      <c r="A1" s="12" t="s">
        <v>13</v>
      </c>
      <c r="B1" s="31">
        <v>1880</v>
      </c>
      <c r="C1" s="31">
        <v>1890</v>
      </c>
      <c r="D1" s="31">
        <v>1900</v>
      </c>
      <c r="E1" s="31">
        <v>1910</v>
      </c>
      <c r="F1" s="31">
        <v>1920</v>
      </c>
      <c r="G1" s="31">
        <v>1930</v>
      </c>
      <c r="H1" s="31">
        <v>1940</v>
      </c>
      <c r="I1" s="33">
        <v>1950</v>
      </c>
      <c r="J1" s="33">
        <v>1960</v>
      </c>
      <c r="K1" s="33">
        <v>1970</v>
      </c>
      <c r="L1" s="33">
        <v>1980</v>
      </c>
      <c r="M1" s="33">
        <v>1990</v>
      </c>
      <c r="N1" s="33">
        <v>2000</v>
      </c>
      <c r="O1" s="33">
        <v>2010</v>
      </c>
      <c r="P1" s="31"/>
      <c r="Q1" s="12"/>
      <c r="R1" s="9"/>
    </row>
    <row r="2" spans="1:18" ht="18.75" x14ac:dyDescent="0.3">
      <c r="A2" s="18" t="s">
        <v>121</v>
      </c>
      <c r="B2" s="44" t="s">
        <v>13</v>
      </c>
      <c r="C2" s="44" t="s">
        <v>13</v>
      </c>
      <c r="D2" s="44" t="s">
        <v>13</v>
      </c>
      <c r="E2" s="44" t="s">
        <v>13</v>
      </c>
      <c r="F2" s="44" t="s">
        <v>13</v>
      </c>
      <c r="G2" s="44" t="s">
        <v>13</v>
      </c>
      <c r="H2" s="44" t="s">
        <v>13</v>
      </c>
      <c r="I2" s="44" t="s">
        <v>13</v>
      </c>
      <c r="J2" s="44" t="s">
        <v>13</v>
      </c>
      <c r="K2" s="44" t="s">
        <v>13</v>
      </c>
      <c r="L2" s="47" t="s">
        <v>13</v>
      </c>
      <c r="M2" s="7" t="s">
        <v>13</v>
      </c>
      <c r="N2" s="47" t="s">
        <v>13</v>
      </c>
      <c r="O2" s="47" t="s">
        <v>13</v>
      </c>
    </row>
    <row r="3" spans="1:18" x14ac:dyDescent="0.25">
      <c r="A3" s="1" t="s">
        <v>17</v>
      </c>
      <c r="J3" s="23"/>
      <c r="K3" s="23"/>
      <c r="L3" s="23"/>
      <c r="M3" s="23"/>
    </row>
    <row r="4" spans="1:18" x14ac:dyDescent="0.25">
      <c r="A4" s="3" t="s">
        <v>1</v>
      </c>
      <c r="B4" s="23">
        <f>(('1765-2010 Annual Accounts'!AK6)/240)</f>
        <v>1475</v>
      </c>
      <c r="C4" s="23">
        <f>(('1765-2010 Annual Accounts'!AO6)/240)</f>
        <v>1526</v>
      </c>
      <c r="D4" s="23">
        <f>(('1765-2010 Annual Accounts'!AS6)/240)</f>
        <v>1550</v>
      </c>
      <c r="E4" s="23">
        <f>(('1765-2010 Annual Accounts'!AW6)/240)</f>
        <v>1727.2458333333334</v>
      </c>
      <c r="F4" s="23">
        <f>(('1765-2010 Annual Accounts'!BA6)/240)</f>
        <v>1683.5583333333334</v>
      </c>
      <c r="G4" s="23">
        <f>(('1765-2010 Annual Accounts'!BE6)/240)</f>
        <v>2120</v>
      </c>
      <c r="H4" s="23">
        <f>(('1765-2010 Annual Accounts'!BI6)/240)</f>
        <v>2210</v>
      </c>
      <c r="I4" s="23">
        <f>('1765-2010 Annual Accounts'!BM6)/240</f>
        <v>2530</v>
      </c>
      <c r="J4" s="23">
        <f>'1765-2010 Annual Accounts'!BN6</f>
        <v>3255</v>
      </c>
      <c r="K4" s="23">
        <f>'1765-2010 Annual Accounts'!BR6</f>
        <v>6340</v>
      </c>
      <c r="L4" s="23">
        <f>'1765-2010 Annual Accounts'!BW6</f>
        <v>16340</v>
      </c>
      <c r="M4" s="23">
        <f>'1765-2010 Annual Accounts'!BY6</f>
        <v>57849</v>
      </c>
      <c r="N4" s="23">
        <f>'1765-2010 Annual Accounts'!CC6</f>
        <v>146000</v>
      </c>
      <c r="O4" s="23">
        <f>'1765-2010 Annual Accounts'!CG6</f>
        <v>203000</v>
      </c>
    </row>
    <row r="5" spans="1:18" x14ac:dyDescent="0.25">
      <c r="A5" s="3" t="s">
        <v>70</v>
      </c>
      <c r="B5" s="23">
        <f>(('1765-2010 Annual Accounts'!AK7)/240)</f>
        <v>1934.3791666666666</v>
      </c>
      <c r="C5" s="23">
        <f>(('1765-2010 Annual Accounts'!AO7)/240)</f>
        <v>3310.1458333333335</v>
      </c>
      <c r="D5" s="23">
        <f>(('1765-2010 Annual Accounts'!AS7)/240)</f>
        <v>3339.7833333333333</v>
      </c>
      <c r="E5" s="23">
        <f>(('1765-2010 Annual Accounts'!AW7)/240)</f>
        <v>3548.9833333333331</v>
      </c>
      <c r="F5" s="23">
        <f>(('1765-2010 Annual Accounts'!BA7)/240)</f>
        <v>5088.7458333333334</v>
      </c>
      <c r="G5" s="23">
        <f>(('1765-2010 Annual Accounts'!BE7)/240)</f>
        <v>5752.8416666666662</v>
      </c>
      <c r="H5" s="23">
        <f>(('1765-2010 Annual Accounts'!BI7)/240)</f>
        <v>4524.5791666666664</v>
      </c>
      <c r="I5" s="23">
        <f>('1765-2010 Annual Accounts'!BM7)/240</f>
        <v>5814.6750000000002</v>
      </c>
      <c r="J5" s="23">
        <f>'1765-2010 Annual Accounts'!BN7</f>
        <v>15854</v>
      </c>
      <c r="K5" s="23">
        <f>'1765-2010 Annual Accounts'!BR7</f>
        <v>38728</v>
      </c>
      <c r="L5" s="23">
        <f>'1765-2010 Annual Accounts'!BW7</f>
        <v>321817</v>
      </c>
      <c r="M5" s="23">
        <f>'1765-2010 Annual Accounts'!BY7</f>
        <v>590511</v>
      </c>
      <c r="N5" s="23">
        <f>'1765-2010 Annual Accounts'!CC7</f>
        <v>673000</v>
      </c>
      <c r="O5" s="23">
        <f>'1765-2010 Annual Accounts'!CG7</f>
        <v>1088000</v>
      </c>
    </row>
    <row r="6" spans="1:18" x14ac:dyDescent="0.25">
      <c r="A6" s="3" t="s">
        <v>41</v>
      </c>
      <c r="B6" s="23">
        <f>(('1765-2010 Annual Accounts'!AK8)/240)</f>
        <v>0</v>
      </c>
      <c r="C6" s="23">
        <f>(('1765-2010 Annual Accounts'!AO8)/240)</f>
        <v>2005.6166666666666</v>
      </c>
      <c r="D6" s="23">
        <f>(('1765-2010 Annual Accounts'!AS8)/240)</f>
        <v>620.29583333333335</v>
      </c>
      <c r="E6" s="23">
        <f>(('1765-2010 Annual Accounts'!AW8)/240)</f>
        <v>205</v>
      </c>
      <c r="F6" s="23">
        <f>(('1765-2010 Annual Accounts'!BA8)/240)</f>
        <v>0</v>
      </c>
      <c r="G6" s="23">
        <f>(('1765-2010 Annual Accounts'!BE8)/240)</f>
        <v>10.029166666666667</v>
      </c>
      <c r="H6" s="23">
        <f>('1765-2010 Annual Accounts'!BI8)/240</f>
        <v>0</v>
      </c>
      <c r="I6" s="23"/>
      <c r="J6" s="23">
        <f>'1765-2010 Annual Accounts'!BN8</f>
        <v>0</v>
      </c>
      <c r="K6" s="23">
        <f>'1765-2010 Annual Accounts'!BR8</f>
        <v>0</v>
      </c>
      <c r="L6" s="23">
        <f>'1765-2010 Annual Accounts'!BW8</f>
        <v>0</v>
      </c>
      <c r="M6" s="23">
        <f>'1765-2010 Annual Accounts'!BY8</f>
        <v>19394</v>
      </c>
      <c r="N6" s="23">
        <f>'1765-2010 Annual Accounts'!CC8</f>
        <v>0</v>
      </c>
      <c r="O6" s="23">
        <f>'1765-2010 Annual Accounts'!CG8</f>
        <v>0</v>
      </c>
    </row>
    <row r="7" spans="1:18" x14ac:dyDescent="0.25">
      <c r="A7" s="3" t="s">
        <v>125</v>
      </c>
      <c r="B7" s="23">
        <f>(('1765-2010 Annual Accounts'!AK9)/240)</f>
        <v>0</v>
      </c>
      <c r="C7" s="23">
        <f>(('1765-2010 Annual Accounts'!AO9)/240)</f>
        <v>0</v>
      </c>
      <c r="D7" s="23">
        <f>(('1765-2010 Annual Accounts'!AS9)/240)</f>
        <v>0</v>
      </c>
      <c r="E7" s="23">
        <f>(('1765-2010 Annual Accounts'!AW9)/240)</f>
        <v>0</v>
      </c>
      <c r="F7" s="23">
        <f>(('1765-2010 Annual Accounts'!BA9)/240)</f>
        <v>0</v>
      </c>
      <c r="G7" s="23">
        <f>(('1765-2010 Annual Accounts'!BE9)/240)</f>
        <v>0</v>
      </c>
      <c r="H7" s="23">
        <f>('1765-2010 Annual Accounts'!BI9)/240</f>
        <v>0</v>
      </c>
      <c r="I7" s="23"/>
      <c r="J7" s="23">
        <f>'1765-2010 Annual Accounts'!BN9</f>
        <v>0</v>
      </c>
      <c r="K7" s="23">
        <f>'1765-2010 Annual Accounts'!BR9</f>
        <v>0</v>
      </c>
      <c r="L7" s="23">
        <f>'1765-2010 Annual Accounts'!BW9</f>
        <v>0</v>
      </c>
      <c r="M7" s="23">
        <f>'1765-2010 Annual Accounts'!BY9</f>
        <v>2280</v>
      </c>
      <c r="N7" s="23">
        <f>'1765-2010 Annual Accounts'!CC9</f>
        <v>59000</v>
      </c>
      <c r="O7" s="23">
        <f>'1765-2010 Annual Accounts'!CG9</f>
        <v>2938000</v>
      </c>
    </row>
    <row r="8" spans="1:18" x14ac:dyDescent="0.25">
      <c r="A8" s="3" t="s">
        <v>130</v>
      </c>
      <c r="B8" s="23">
        <f>(('1765-2010 Annual Accounts'!AK10)/240)</f>
        <v>0</v>
      </c>
      <c r="C8" s="23">
        <f>(('1765-2010 Annual Accounts'!AO10)/240)</f>
        <v>0</v>
      </c>
      <c r="D8" s="23">
        <f>(('1765-2010 Annual Accounts'!AS10)/240)</f>
        <v>0</v>
      </c>
      <c r="E8" s="23">
        <f>(('1765-2010 Annual Accounts'!AW10)/240)</f>
        <v>0</v>
      </c>
      <c r="F8" s="23">
        <f>(('1765-2010 Annual Accounts'!BA10)/240)</f>
        <v>0</v>
      </c>
      <c r="G8" s="23">
        <f>(('1765-2010 Annual Accounts'!BE10)/240)</f>
        <v>0</v>
      </c>
      <c r="H8" s="23">
        <f>('1765-2010 Annual Accounts'!BI10)/240</f>
        <v>2317.0333333333333</v>
      </c>
      <c r="I8" s="23">
        <f>('1765-2010 Annual Accounts'!BM10)/240</f>
        <v>6584.8083333333334</v>
      </c>
      <c r="J8" s="23">
        <f>'1765-2010 Annual Accounts'!BN10</f>
        <v>25341</v>
      </c>
      <c r="K8" s="23">
        <f>'1765-2010 Annual Accounts'!BR10</f>
        <v>58879</v>
      </c>
      <c r="L8" s="23">
        <f>'1765-2010 Annual Accounts'!BW10</f>
        <v>444193</v>
      </c>
      <c r="M8" s="23">
        <f>'1765-2010 Annual Accounts'!BY10</f>
        <v>1354405</v>
      </c>
      <c r="N8" s="23">
        <f>'1765-2010 Annual Accounts'!CC10</f>
        <v>1886000</v>
      </c>
      <c r="O8" s="23">
        <f>'1765-2010 Annual Accounts'!CG10</f>
        <v>1770000</v>
      </c>
    </row>
    <row r="9" spans="1:18" x14ac:dyDescent="0.25">
      <c r="A9" s="3" t="s">
        <v>126</v>
      </c>
      <c r="B9" s="23">
        <f>(('1765-2010 Annual Accounts'!AK11)/240)</f>
        <v>0</v>
      </c>
      <c r="C9" s="23">
        <f>(('1765-2010 Annual Accounts'!AO11)/240)</f>
        <v>0</v>
      </c>
      <c r="D9" s="23">
        <f>(('1765-2010 Annual Accounts'!AS11)/240)</f>
        <v>0</v>
      </c>
      <c r="E9" s="23">
        <f>(('1765-2010 Annual Accounts'!AW11)/240)</f>
        <v>0</v>
      </c>
      <c r="F9" s="23">
        <f>(('1765-2010 Annual Accounts'!BA11)/240)</f>
        <v>0</v>
      </c>
      <c r="G9" s="23">
        <f>(('1765-2010 Annual Accounts'!BE11)/240)</f>
        <v>0</v>
      </c>
      <c r="H9" s="23">
        <f>('1765-2010 Annual Accounts'!BI11)/240</f>
        <v>0</v>
      </c>
      <c r="I9" s="23"/>
      <c r="J9" s="23">
        <f>'1765-2010 Annual Accounts'!BN11</f>
        <v>0</v>
      </c>
      <c r="K9" s="23">
        <f>'1765-2010 Annual Accounts'!BR11</f>
        <v>13709</v>
      </c>
      <c r="L9" s="23">
        <f>'1765-2010 Annual Accounts'!BW11</f>
        <v>73353</v>
      </c>
      <c r="M9" s="23">
        <f>'1765-2010 Annual Accounts'!BY11</f>
        <v>46406</v>
      </c>
      <c r="N9" s="23">
        <f>'1765-2010 Annual Accounts'!CC11</f>
        <v>879000</v>
      </c>
      <c r="O9" s="23">
        <f>'1765-2010 Annual Accounts'!CG11</f>
        <v>3852000</v>
      </c>
    </row>
    <row r="10" spans="1:18" x14ac:dyDescent="0.25">
      <c r="A10" s="3" t="s">
        <v>120</v>
      </c>
      <c r="B10" s="23">
        <f>(('1765-2010 Annual Accounts'!AK12)/240)</f>
        <v>0</v>
      </c>
      <c r="C10" s="23">
        <f>(('1765-2010 Annual Accounts'!AO12)/240)</f>
        <v>0</v>
      </c>
      <c r="D10" s="23">
        <f>(('1765-2010 Annual Accounts'!AS12)/240)</f>
        <v>0</v>
      </c>
      <c r="E10" s="23">
        <f>(('1765-2010 Annual Accounts'!AW12)/240)</f>
        <v>0</v>
      </c>
      <c r="F10" s="23">
        <f>(('1765-2010 Annual Accounts'!BA12)/240)</f>
        <v>0</v>
      </c>
      <c r="G10" s="23">
        <f>(('1765-2010 Annual Accounts'!BE12)/240)</f>
        <v>0</v>
      </c>
      <c r="H10" s="23">
        <f>('1765-2010 Annual Accounts'!BI12)/240</f>
        <v>0</v>
      </c>
      <c r="I10" s="23"/>
      <c r="J10" s="23">
        <f>'1765-2010 Annual Accounts'!BN12</f>
        <v>0</v>
      </c>
      <c r="K10" s="23">
        <f>'1765-2010 Annual Accounts'!BR12</f>
        <v>0</v>
      </c>
      <c r="L10" s="23"/>
      <c r="M10" s="23">
        <f>'1765-2010 Annual Accounts'!BY12</f>
        <v>305533</v>
      </c>
      <c r="N10" s="23">
        <f>'1765-2010 Annual Accounts'!CC12</f>
        <v>0</v>
      </c>
      <c r="O10" s="23">
        <f>'1765-2010 Annual Accounts'!CG12</f>
        <v>495000</v>
      </c>
    </row>
    <row r="11" spans="1:18" x14ac:dyDescent="0.25">
      <c r="A11" s="3" t="s">
        <v>115</v>
      </c>
      <c r="B11" s="23">
        <f>(('1765-2010 Annual Accounts'!AK13)/240)</f>
        <v>0</v>
      </c>
      <c r="C11" s="23">
        <f>(('1765-2010 Annual Accounts'!AO13)/240)</f>
        <v>0</v>
      </c>
      <c r="D11" s="23">
        <f>(('1765-2010 Annual Accounts'!AS13)/240)</f>
        <v>0</v>
      </c>
      <c r="E11" s="23">
        <f>(('1765-2010 Annual Accounts'!AW13)/240)</f>
        <v>0</v>
      </c>
      <c r="F11" s="23">
        <f>(('1765-2010 Annual Accounts'!BA13)/240)</f>
        <v>0</v>
      </c>
      <c r="G11" s="23">
        <f>(('1765-2010 Annual Accounts'!BE13)/240)</f>
        <v>0</v>
      </c>
      <c r="H11" s="23">
        <f>('1765-2010 Annual Accounts'!BI13)/240</f>
        <v>0</v>
      </c>
      <c r="I11" s="23"/>
      <c r="J11" s="23">
        <f>'1765-2010 Annual Accounts'!BN13</f>
        <v>0</v>
      </c>
      <c r="K11" s="23">
        <f>'1765-2010 Annual Accounts'!BR13</f>
        <v>0</v>
      </c>
      <c r="L11" s="23"/>
      <c r="M11" s="23">
        <f>'1765-2010 Annual Accounts'!BY13</f>
        <v>0</v>
      </c>
      <c r="N11" s="23">
        <f>'1765-2010 Annual Accounts'!CC13</f>
        <v>0</v>
      </c>
      <c r="O11" s="23">
        <f>'1765-2010 Annual Accounts'!CG13</f>
        <v>0</v>
      </c>
    </row>
    <row r="12" spans="1:18" x14ac:dyDescent="0.25">
      <c r="A12" s="3" t="s">
        <v>21</v>
      </c>
      <c r="B12" s="23">
        <f>(('1765-2010 Annual Accounts'!AK14)/240)</f>
        <v>6.4375</v>
      </c>
      <c r="C12" s="23">
        <f>(('1765-2010 Annual Accounts'!AO14)/240)</f>
        <v>59.595833333333331</v>
      </c>
      <c r="D12" s="23">
        <f>(('1765-2010 Annual Accounts'!AS14)/240)</f>
        <v>0</v>
      </c>
      <c r="E12" s="23">
        <f>(('1765-2010 Annual Accounts'!AW14)/240)</f>
        <v>0</v>
      </c>
      <c r="F12" s="23">
        <f>(('1765-2010 Annual Accounts'!BA14)/240)</f>
        <v>0</v>
      </c>
      <c r="G12" s="23">
        <f>(('1765-2010 Annual Accounts'!BE14)/240)</f>
        <v>291.19583333333333</v>
      </c>
      <c r="H12" s="23">
        <f>('1765-2010 Annual Accounts'!BI14)/240</f>
        <v>40.579166666666666</v>
      </c>
      <c r="I12" s="23">
        <f>('1765-2010 Annual Accounts'!BM14)/240</f>
        <v>372.97916666666669</v>
      </c>
      <c r="J12" s="23">
        <f>'1765-2010 Annual Accounts'!BN14</f>
        <v>5205</v>
      </c>
      <c r="K12" s="23">
        <f>'1765-2010 Annual Accounts'!BR14</f>
        <v>43406</v>
      </c>
      <c r="L12" s="23">
        <f>'1765-2010 Annual Accounts'!BW14</f>
        <v>17943</v>
      </c>
      <c r="M12" s="23">
        <f>'1765-2010 Annual Accounts'!BY14</f>
        <v>130</v>
      </c>
      <c r="N12" s="23">
        <f>'1765-2010 Annual Accounts'!CC14</f>
        <v>-53000</v>
      </c>
      <c r="O12" s="23">
        <f>'1765-2010 Annual Accounts'!CG14</f>
        <v>137000</v>
      </c>
    </row>
    <row r="13" spans="1:18" x14ac:dyDescent="0.25">
      <c r="A13" s="1" t="s">
        <v>31</v>
      </c>
      <c r="B13" s="23">
        <f>(('1765-2010 Annual Accounts'!AK15)/240)</f>
        <v>3409.3791666666666</v>
      </c>
      <c r="C13" s="23">
        <f>(('1765-2010 Annual Accounts'!AO15)/240)</f>
        <v>6841.7624999999998</v>
      </c>
      <c r="D13" s="23">
        <f>(('1765-2010 Annual Accounts'!AS15)/240)</f>
        <v>5510.0791666666664</v>
      </c>
      <c r="E13" s="23">
        <f>(('1765-2010 Annual Accounts'!AW15)/240)</f>
        <v>5481.229166666667</v>
      </c>
      <c r="F13" s="23">
        <f>(('1765-2010 Annual Accounts'!BA15)/240)</f>
        <v>6772.3041666666668</v>
      </c>
      <c r="G13" s="23">
        <f>(('1765-2010 Annual Accounts'!BE15)/240)</f>
        <v>7882.8708333333334</v>
      </c>
      <c r="H13" s="23">
        <f>('1765-2010 Annual Accounts'!BI15)/240</f>
        <v>6734.5791666666664</v>
      </c>
      <c r="I13" s="23">
        <f>('1765-2010 Annual Accounts'!BM15)/240</f>
        <v>8344.6749999999993</v>
      </c>
      <c r="J13" s="23">
        <f>'1765-2010 Annual Accounts'!BN15</f>
        <v>49655</v>
      </c>
      <c r="K13" s="23">
        <f>'1765-2010 Annual Accounts'!BR15</f>
        <v>161062</v>
      </c>
      <c r="L13" s="23">
        <f>'1765-2010 Annual Accounts'!BW15</f>
        <v>914646</v>
      </c>
      <c r="M13" s="23">
        <f>'1765-2010 Annual Accounts'!BY15</f>
        <v>2376508</v>
      </c>
      <c r="N13" s="23">
        <f>'1765-2010 Annual Accounts'!CC15</f>
        <v>3590000</v>
      </c>
      <c r="O13" s="23">
        <f>'1765-2010 Annual Accounts'!CG15</f>
        <v>10483000</v>
      </c>
    </row>
    <row r="14" spans="1:18" x14ac:dyDescent="0.25">
      <c r="A14" s="1" t="s">
        <v>19</v>
      </c>
      <c r="B14" s="23">
        <f>(('1765-2010 Annual Accounts'!AK16)/240)</f>
        <v>0</v>
      </c>
      <c r="C14" s="23">
        <f>(('1765-2010 Annual Accounts'!AO16)/240)</f>
        <v>0</v>
      </c>
      <c r="D14" s="23">
        <f>(('1765-2010 Annual Accounts'!AS16)/240)</f>
        <v>0</v>
      </c>
      <c r="E14" s="23">
        <f>(('1765-2010 Annual Accounts'!AW16)/240)</f>
        <v>0</v>
      </c>
      <c r="F14" s="23">
        <f>(('1765-2010 Annual Accounts'!BA16)/240)</f>
        <v>0</v>
      </c>
      <c r="G14" s="23">
        <f>(('1765-2010 Annual Accounts'!BE16)/240)</f>
        <v>0</v>
      </c>
      <c r="H14" s="23">
        <v>0</v>
      </c>
      <c r="I14" s="23"/>
      <c r="J14" s="23"/>
      <c r="K14" s="23"/>
      <c r="L14" s="23"/>
      <c r="M14" s="23"/>
      <c r="N14" s="23"/>
      <c r="O14" s="23">
        <f>'1765-2010 Annual Accounts'!CG16</f>
        <v>0</v>
      </c>
    </row>
    <row r="15" spans="1:18" x14ac:dyDescent="0.25">
      <c r="A15" s="3" t="s">
        <v>2</v>
      </c>
      <c r="B15" s="23">
        <f>(('1765-2010 Annual Accounts'!AK17)/240)</f>
        <v>616.76250000000005</v>
      </c>
      <c r="C15" s="23">
        <f>(('1765-2010 Annual Accounts'!AO17)/240)</f>
        <v>874.98333333333335</v>
      </c>
      <c r="D15" s="23">
        <f>(('1765-2010 Annual Accounts'!AS17)/240)</f>
        <v>1201.2041666666667</v>
      </c>
      <c r="E15" s="23">
        <f>(('1765-2010 Annual Accounts'!AW17)/240)</f>
        <v>1619.9083333333333</v>
      </c>
      <c r="F15" s="23">
        <f>(('1765-2010 Annual Accounts'!BA17)/240)</f>
        <v>2486.3958333333335</v>
      </c>
      <c r="G15" s="23">
        <f>(('1765-2010 Annual Accounts'!BE17)/240)</f>
        <v>1857.7791666666667</v>
      </c>
      <c r="H15" s="23">
        <f>('1765-2010 Annual Accounts'!BI17)/240</f>
        <v>5306.3833333333332</v>
      </c>
      <c r="I15" s="23">
        <f>('1765-2010 Annual Accounts'!BM17)/240</f>
        <v>9193.1625000000004</v>
      </c>
      <c r="J15" s="23">
        <f>'1765-2010 Annual Accounts'!BN17</f>
        <v>23444</v>
      </c>
      <c r="K15" s="23">
        <f>'1765-2010 Annual Accounts'!BR17</f>
        <v>111334</v>
      </c>
      <c r="L15" s="23">
        <f>'1765-2010 Annual Accounts'!BW17</f>
        <v>243878</v>
      </c>
      <c r="M15" s="23">
        <f>'1765-2010 Annual Accounts'!BY17</f>
        <v>1030196</v>
      </c>
      <c r="N15" s="23">
        <f>'1765-2010 Annual Accounts'!CC17</f>
        <v>656000</v>
      </c>
      <c r="O15" s="23">
        <f>'1765-2010 Annual Accounts'!CG17</f>
        <v>1379000</v>
      </c>
    </row>
    <row r="16" spans="1:18" x14ac:dyDescent="0.25">
      <c r="A16" s="3" t="s">
        <v>66</v>
      </c>
      <c r="B16" s="23">
        <f>(('1765-2010 Annual Accounts'!AK18)/240)</f>
        <v>1089.5875000000001</v>
      </c>
      <c r="C16" s="23">
        <f>(('1765-2010 Annual Accounts'!AO18)/240)</f>
        <v>1755.6</v>
      </c>
      <c r="D16" s="23">
        <f>(('1765-2010 Annual Accounts'!AS18)/240)</f>
        <v>1937.0875000000001</v>
      </c>
      <c r="E16" s="23">
        <f>(('1765-2010 Annual Accounts'!AW18)/240)</f>
        <v>2351.5250000000001</v>
      </c>
      <c r="F16" s="23">
        <f>(('1765-2010 Annual Accounts'!BA18)/240)</f>
        <v>4440.895833333333</v>
      </c>
      <c r="G16" s="23">
        <f>(('1765-2010 Annual Accounts'!BE18)/240)</f>
        <v>5018.0583333333334</v>
      </c>
      <c r="H16" s="23">
        <f>('1765-2010 Annual Accounts'!BI18)/240</f>
        <v>5351.4041666666662</v>
      </c>
      <c r="I16" s="23">
        <f>('1765-2010 Annual Accounts'!BM18)/240</f>
        <v>11162.429166666667</v>
      </c>
      <c r="J16" s="23">
        <f>'1765-2010 Annual Accounts'!BN18</f>
        <v>58854</v>
      </c>
      <c r="K16" s="23">
        <f>'1765-2010 Annual Accounts'!BR18</f>
        <v>205196</v>
      </c>
      <c r="L16" s="23">
        <f>'1765-2010 Annual Accounts'!BW18</f>
        <v>720564</v>
      </c>
      <c r="M16" s="23">
        <f>'1765-2010 Annual Accounts'!BY18</f>
        <v>1541571</v>
      </c>
      <c r="N16" s="23">
        <f>'1765-2010 Annual Accounts'!CC18</f>
        <v>3053000</v>
      </c>
      <c r="O16" s="23">
        <f>'1765-2010 Annual Accounts'!CG18</f>
        <v>6834000</v>
      </c>
    </row>
    <row r="17" spans="1:29" x14ac:dyDescent="0.25">
      <c r="A17" s="3" t="s">
        <v>3</v>
      </c>
      <c r="B17" s="23">
        <f>(('1765-2010 Annual Accounts'!AK19)/240)</f>
        <v>276.96249999999998</v>
      </c>
      <c r="C17" s="23">
        <f>(('1765-2010 Annual Accounts'!AO19)/240)</f>
        <v>245.37916666666666</v>
      </c>
      <c r="D17" s="23">
        <f>(('1765-2010 Annual Accounts'!AS19)/240)</f>
        <v>294.89999999999998</v>
      </c>
      <c r="E17" s="23">
        <f>(('1765-2010 Annual Accounts'!AW19)/240)</f>
        <v>659.61249999999995</v>
      </c>
      <c r="F17" s="23">
        <f>(('1765-2010 Annual Accounts'!BA19)/240)</f>
        <v>545.25416666666672</v>
      </c>
      <c r="G17" s="23">
        <f>(('1765-2010 Annual Accounts'!BE19)/240)</f>
        <v>459.70416666666665</v>
      </c>
      <c r="H17" s="23">
        <f>('1765-2010 Annual Accounts'!BI19)/240</f>
        <v>0</v>
      </c>
      <c r="I17" s="23"/>
      <c r="J17" s="23">
        <f>'1765-2010 Annual Accounts'!BN19</f>
        <v>2518</v>
      </c>
      <c r="K17" s="23">
        <f>'1765-2010 Annual Accounts'!BR19</f>
        <v>3534</v>
      </c>
      <c r="L17" s="23">
        <f>'1765-2010 Annual Accounts'!BW19</f>
        <v>4733</v>
      </c>
      <c r="M17" s="23">
        <f>'1765-2010 Annual Accounts'!BY19</f>
        <v>8190</v>
      </c>
      <c r="N17" s="23">
        <f>'1765-2010 Annual Accounts'!CC19</f>
        <v>40000</v>
      </c>
      <c r="O17" s="23">
        <f>'1765-2010 Annual Accounts'!CG19</f>
        <v>0</v>
      </c>
    </row>
    <row r="18" spans="1:29" x14ac:dyDescent="0.25">
      <c r="A18" s="3" t="s">
        <v>122</v>
      </c>
      <c r="B18" s="23">
        <f>(('1765-2010 Annual Accounts'!AK20)/240)</f>
        <v>0</v>
      </c>
      <c r="C18" s="23">
        <f>(('1765-2010 Annual Accounts'!AO20)/240)</f>
        <v>0</v>
      </c>
      <c r="D18" s="23">
        <f>(('1765-2010 Annual Accounts'!AS20)/240)</f>
        <v>0</v>
      </c>
      <c r="E18" s="23">
        <f>(('1765-2010 Annual Accounts'!AW20)/240)</f>
        <v>0</v>
      </c>
      <c r="F18" s="23">
        <f>(('1765-2010 Annual Accounts'!BA20)/240)</f>
        <v>0</v>
      </c>
      <c r="G18" s="23">
        <f>(('1765-2010 Annual Accounts'!BE20)/240)</f>
        <v>0</v>
      </c>
      <c r="H18" s="23">
        <f>('1765-2010 Annual Accounts'!BI20)/240</f>
        <v>0</v>
      </c>
      <c r="I18" s="23"/>
      <c r="J18" s="23">
        <f>'1765-2010 Annual Accounts'!BN20</f>
        <v>0</v>
      </c>
      <c r="K18" s="23">
        <f>'1765-2010 Annual Accounts'!BR20</f>
        <v>0</v>
      </c>
      <c r="L18" s="23">
        <f>'1765-2010 Annual Accounts'!BW20</f>
        <v>0</v>
      </c>
      <c r="M18" s="23">
        <f>'1765-2010 Annual Accounts'!BY20</f>
        <v>49271</v>
      </c>
      <c r="N18" s="23">
        <f>'1765-2010 Annual Accounts'!CC20</f>
        <v>0</v>
      </c>
      <c r="O18" s="23">
        <f>'1765-2010 Annual Accounts'!CG20</f>
        <v>0</v>
      </c>
    </row>
    <row r="19" spans="1:29" x14ac:dyDescent="0.25">
      <c r="A19" s="3" t="s">
        <v>127</v>
      </c>
      <c r="B19" s="23">
        <f>(('1765-2010 Annual Accounts'!AK21)/240)</f>
        <v>0</v>
      </c>
      <c r="C19" s="23">
        <f>(('1765-2010 Annual Accounts'!AO21)/240)</f>
        <v>0</v>
      </c>
      <c r="D19" s="23">
        <f>(('1765-2010 Annual Accounts'!AS21)/240)</f>
        <v>0</v>
      </c>
      <c r="E19" s="23">
        <f>(('1765-2010 Annual Accounts'!AW21)/240)</f>
        <v>0</v>
      </c>
      <c r="F19" s="23">
        <f>(('1765-2010 Annual Accounts'!BA21)/240)</f>
        <v>0</v>
      </c>
      <c r="G19" s="23">
        <f>(('1765-2010 Annual Accounts'!BE21)/240)</f>
        <v>0</v>
      </c>
      <c r="H19" s="23">
        <f>('1765-2010 Annual Accounts'!BI21)/240</f>
        <v>0</v>
      </c>
      <c r="I19" s="23"/>
      <c r="J19" s="23">
        <f>'1765-2010 Annual Accounts'!BN21</f>
        <v>0</v>
      </c>
      <c r="K19" s="23">
        <f>'1765-2010 Annual Accounts'!BR21</f>
        <v>9806</v>
      </c>
      <c r="L19" s="23">
        <f>'1765-2010 Annual Accounts'!BW21</f>
        <v>41612</v>
      </c>
      <c r="M19" s="23">
        <f>'1765-2010 Annual Accounts'!BY21</f>
        <v>0</v>
      </c>
      <c r="N19" s="23">
        <f>'1765-2010 Annual Accounts'!CC21</f>
        <v>819000</v>
      </c>
      <c r="O19" s="23">
        <f>'1765-2010 Annual Accounts'!CG21</f>
        <v>3398000</v>
      </c>
    </row>
    <row r="20" spans="1:29" x14ac:dyDescent="0.25">
      <c r="A20" s="3" t="s">
        <v>105</v>
      </c>
      <c r="B20" s="23">
        <f>(('1765-2010 Annual Accounts'!AK22)/240)</f>
        <v>0</v>
      </c>
      <c r="C20" s="23">
        <f>(('1765-2010 Annual Accounts'!AO22)/240)</f>
        <v>0</v>
      </c>
      <c r="D20" s="23">
        <f>(('1765-2010 Annual Accounts'!AS22)/240)</f>
        <v>0</v>
      </c>
      <c r="E20" s="23">
        <f>(('1765-2010 Annual Accounts'!AW22)/240)</f>
        <v>0</v>
      </c>
      <c r="F20" s="23">
        <f>(('1765-2010 Annual Accounts'!BA22)/240)</f>
        <v>0</v>
      </c>
      <c r="G20" s="23">
        <f>(('1765-2010 Annual Accounts'!BE22)/240)</f>
        <v>0</v>
      </c>
      <c r="H20" s="23">
        <f>('1765-2010 Annual Accounts'!BI22)/240</f>
        <v>260.86250000000001</v>
      </c>
      <c r="I20" s="23">
        <f>('1765-2010 Annual Accounts'!BM22)/240</f>
        <v>205.88333333333333</v>
      </c>
      <c r="J20" s="23">
        <f>'1765-2010 Annual Accounts'!BN22</f>
        <v>0</v>
      </c>
      <c r="K20" s="23">
        <f>'1765-2010 Annual Accounts'!BR22</f>
        <v>0</v>
      </c>
      <c r="L20" s="23"/>
      <c r="M20" s="23">
        <f>'1765-2010 Annual Accounts'!BY22</f>
        <v>5050</v>
      </c>
      <c r="N20" s="23">
        <f>'1765-2010 Annual Accounts'!CC22</f>
        <v>269000</v>
      </c>
      <c r="O20" s="23">
        <f>'1765-2010 Annual Accounts'!CG22</f>
        <v>916000</v>
      </c>
    </row>
    <row r="21" spans="1:29" x14ac:dyDescent="0.25">
      <c r="A21" s="3" t="s">
        <v>41</v>
      </c>
      <c r="B21" s="23">
        <f>(('1765-2010 Annual Accounts'!AK23)/240)</f>
        <v>0</v>
      </c>
      <c r="C21" s="23">
        <f>(('1765-2010 Annual Accounts'!AO23)/240)</f>
        <v>816.3</v>
      </c>
      <c r="D21" s="23">
        <f>(('1765-2010 Annual Accounts'!AS23)/240)</f>
        <v>1051.0208333333333</v>
      </c>
      <c r="E21" s="23">
        <f>(('1765-2010 Annual Accounts'!AW23)/240)</f>
        <v>50</v>
      </c>
      <c r="F21" s="23">
        <f>(('1765-2010 Annual Accounts'!BA23)/240)</f>
        <v>0</v>
      </c>
      <c r="G21" s="23">
        <f>(('1765-2010 Annual Accounts'!BE23)/240)</f>
        <v>120.14583333333333</v>
      </c>
      <c r="H21" s="23">
        <f>('1765-2010 Annual Accounts'!BI23)/240</f>
        <v>1136.6541666666667</v>
      </c>
      <c r="I21" s="23"/>
      <c r="J21" s="23">
        <f>'1765-2010 Annual Accounts'!BN23</f>
        <v>0</v>
      </c>
      <c r="K21" s="23">
        <f>'1765-2010 Annual Accounts'!BR23</f>
        <v>0</v>
      </c>
      <c r="L21" s="23">
        <f>'1765-2010 Annual Accounts'!BW23</f>
        <v>0</v>
      </c>
      <c r="M21" s="23">
        <f>'1765-2010 Annual Accounts'!BY23</f>
        <v>23288</v>
      </c>
      <c r="N21" s="23">
        <f>'1765-2010 Annual Accounts'!CC23</f>
        <v>0</v>
      </c>
      <c r="O21" s="23">
        <f>'1765-2010 Annual Accounts'!CG23</f>
        <v>0</v>
      </c>
    </row>
    <row r="22" spans="1:29" x14ac:dyDescent="0.25">
      <c r="A22" s="2" t="s">
        <v>33</v>
      </c>
      <c r="B22" s="23">
        <f>(('1765-2010 Annual Accounts'!AK24)/240)</f>
        <v>1983.3125</v>
      </c>
      <c r="C22" s="23">
        <f>(('1765-2010 Annual Accounts'!AO24)/240)</f>
        <v>2875.9625000000001</v>
      </c>
      <c r="D22" s="23">
        <f>(('1765-2010 Annual Accounts'!AS24)/240)</f>
        <v>3433.1916666666666</v>
      </c>
      <c r="E22" s="23">
        <f>(('1765-2010 Annual Accounts'!AW24)/240)</f>
        <v>4631.0458333333336</v>
      </c>
      <c r="F22" s="23">
        <f>(('1765-2010 Annual Accounts'!BA24)/240)</f>
        <v>7472.5458333333336</v>
      </c>
      <c r="G22" s="23">
        <f>(('1765-2010 Annual Accounts'!BE24)/240)</f>
        <v>7335.541666666667</v>
      </c>
      <c r="H22" s="23">
        <f>('1765-2010 Annual Accounts'!BI24)/240</f>
        <v>10918.65</v>
      </c>
      <c r="I22" s="23">
        <f>('1765-2010 Annual Accounts'!BM24)/240</f>
        <v>20561.474999999999</v>
      </c>
      <c r="J22" s="23">
        <f>'1765-2010 Annual Accounts'!BN24</f>
        <v>84816</v>
      </c>
      <c r="K22" s="23">
        <f>'1765-2010 Annual Accounts'!BR24</f>
        <v>329870</v>
      </c>
      <c r="L22" s="23">
        <f>'1765-2010 Annual Accounts'!BW24</f>
        <v>1010787</v>
      </c>
      <c r="M22" s="23">
        <f>'1765-2010 Annual Accounts'!BY24</f>
        <v>2657566</v>
      </c>
      <c r="N22" s="23">
        <f>'1765-2010 Annual Accounts'!CC24</f>
        <v>4837000</v>
      </c>
      <c r="O22" s="23">
        <f>'1765-2010 Annual Accounts'!CG24</f>
        <v>12527000</v>
      </c>
    </row>
    <row r="23" spans="1:29" x14ac:dyDescent="0.25">
      <c r="A23" s="12" t="s">
        <v>34</v>
      </c>
      <c r="B23" s="23">
        <f>(('1765-2010 Annual Accounts'!AK25)/240)</f>
        <v>1432.5041666666666</v>
      </c>
      <c r="C23" s="23">
        <f>(('1765-2010 Annual Accounts'!AO25)/240)</f>
        <v>3209.0958333333333</v>
      </c>
      <c r="D23" s="23">
        <f>(('1765-2010 Annual Accounts'!AS25)/240)</f>
        <v>1025.8666666666666</v>
      </c>
      <c r="E23" s="23">
        <f>(('1765-2010 Annual Accounts'!AW25)/240)</f>
        <v>800.18333333333328</v>
      </c>
      <c r="F23" s="23">
        <f>(('1765-2010 Annual Accounts'!BA25)/240)</f>
        <v>-700.24166666666667</v>
      </c>
      <c r="G23" s="23">
        <f>(('1765-2010 Annual Accounts'!BE25)/240)</f>
        <v>718.37916666666672</v>
      </c>
      <c r="H23" s="23">
        <f>('1765-2010 Annual Accounts'!BI25)/240</f>
        <v>-2963.1125000000002</v>
      </c>
      <c r="I23" s="23">
        <f>('1765-2010 Annual Accounts'!BM25)/240</f>
        <v>-5259.0124999999998</v>
      </c>
      <c r="J23" s="23">
        <f>'1765-2010 Annual Accounts'!BN25</f>
        <v>-35161</v>
      </c>
      <c r="K23" s="23">
        <f>'1765-2010 Annual Accounts'!BR25</f>
        <v>-168808</v>
      </c>
      <c r="L23" s="23">
        <f>'1765-2010 Annual Accounts'!BW25</f>
        <v>-96141</v>
      </c>
      <c r="M23" s="23">
        <f>'1765-2010 Annual Accounts'!BY25</f>
        <v>-281058</v>
      </c>
      <c r="N23" s="23">
        <f>'1765-2010 Annual Accounts'!CC25</f>
        <v>-1247000</v>
      </c>
      <c r="O23" s="23">
        <f>'1765-2010 Annual Accounts'!CG25</f>
        <v>-2044000</v>
      </c>
    </row>
    <row r="24" spans="1:29" x14ac:dyDescent="0.25">
      <c r="A24" s="19" t="s">
        <v>22</v>
      </c>
      <c r="B24" s="23">
        <f>(('1765-2010 Annual Accounts'!AK26)/240)</f>
        <v>0</v>
      </c>
      <c r="C24" s="23">
        <f>(('1765-2010 Annual Accounts'!AO26)/240)</f>
        <v>0</v>
      </c>
      <c r="D24" s="23">
        <f>(('1765-2010 Annual Accounts'!AS26)/240)</f>
        <v>0</v>
      </c>
      <c r="E24" s="23">
        <f>(('1765-2010 Annual Accounts'!AW26)/240)</f>
        <v>0</v>
      </c>
      <c r="F24" s="23">
        <f>(('1765-2010 Annual Accounts'!BA26)/240)</f>
        <v>0</v>
      </c>
      <c r="G24" s="23">
        <f>(('1765-2010 Annual Accounts'!BE26)/240)</f>
        <v>0</v>
      </c>
      <c r="H24" s="23">
        <f>('1765-2010 Annual Accounts'!BI26)/240</f>
        <v>0</v>
      </c>
      <c r="I24" s="23"/>
      <c r="J24" s="23">
        <f>'1765-2010 Annual Accounts'!BN26</f>
        <v>-38602</v>
      </c>
      <c r="K24" s="23">
        <f>'1765-2010 Annual Accounts'!BR26</f>
        <v>-16739</v>
      </c>
      <c r="L24" s="23">
        <f>'1765-2010 Annual Accounts'!BW26</f>
        <v>-112771</v>
      </c>
      <c r="M24" s="23">
        <f>'1765-2010 Annual Accounts'!BY26</f>
        <v>-118992</v>
      </c>
      <c r="N24" s="23">
        <f>'1765-2010 Annual Accounts'!CC26</f>
        <v>-908000</v>
      </c>
      <c r="O24" s="23">
        <f>'1765-2010 Annual Accounts'!CG26</f>
        <v>-2020000</v>
      </c>
    </row>
    <row r="25" spans="1:29" x14ac:dyDescent="0.25">
      <c r="A25" s="21" t="s">
        <v>40</v>
      </c>
      <c r="B25" s="23">
        <f>(('1765-2010 Annual Accounts'!AK27)/240)</f>
        <v>1432.5041666666666</v>
      </c>
      <c r="C25" s="23">
        <f>(('1765-2010 Annual Accounts'!AO27)/240)</f>
        <v>3209.0958333333333</v>
      </c>
      <c r="D25" s="23">
        <f>(('1765-2010 Annual Accounts'!AS27)/240)</f>
        <v>1025.8666666666666</v>
      </c>
      <c r="E25" s="23">
        <f>(('1765-2010 Annual Accounts'!AW27)/240)</f>
        <v>800.18333333333328</v>
      </c>
      <c r="F25" s="23">
        <f>(('1765-2010 Annual Accounts'!BA27)/240)</f>
        <v>-700.24166666666667</v>
      </c>
      <c r="G25" s="23">
        <f>(('1765-2010 Annual Accounts'!BE27)/240)</f>
        <v>718.37916666666672</v>
      </c>
      <c r="H25" s="23">
        <f>('1765-2010 Annual Accounts'!BI27)/240</f>
        <v>-1139.7583333333334</v>
      </c>
      <c r="I25" s="23">
        <f>('1765-2010 Annual Accounts'!BM27)/240</f>
        <v>-3284.6833333333334</v>
      </c>
      <c r="J25" s="23">
        <f>'1765-2010 Annual Accounts'!BN27</f>
        <v>3441</v>
      </c>
      <c r="K25" s="23">
        <f>'1765-2010 Annual Accounts'!BR27</f>
        <v>-152069</v>
      </c>
      <c r="L25" s="23">
        <f>'1765-2010 Annual Accounts'!BW27</f>
        <v>16630</v>
      </c>
      <c r="M25" s="23">
        <f>'1765-2010 Annual Accounts'!BY27</f>
        <v>-162066</v>
      </c>
      <c r="N25" s="23">
        <f>'1765-2010 Annual Accounts'!CC27</f>
        <v>-339000</v>
      </c>
      <c r="O25" s="23">
        <f>'1765-2010 Annual Accounts'!CG27</f>
        <v>-24000</v>
      </c>
      <c r="AC25" s="35"/>
    </row>
    <row r="26" spans="1:29" ht="18.75" x14ac:dyDescent="0.3">
      <c r="A26" s="16" t="s">
        <v>35</v>
      </c>
      <c r="B26" s="45"/>
      <c r="C26" s="45"/>
      <c r="D26" s="45"/>
      <c r="E26" s="45"/>
      <c r="F26" s="45"/>
      <c r="G26" s="45"/>
      <c r="H26" s="45"/>
      <c r="I26" s="45"/>
      <c r="J26" s="23"/>
      <c r="K26" s="23"/>
      <c r="L26" s="23"/>
      <c r="M26" s="23"/>
      <c r="N26" s="23"/>
      <c r="O26" s="23"/>
    </row>
    <row r="27" spans="1:29" x14ac:dyDescent="0.25">
      <c r="A27" s="11" t="s">
        <v>18</v>
      </c>
      <c r="B27" s="23"/>
      <c r="C27" s="23"/>
      <c r="D27" s="23"/>
      <c r="E27" s="23"/>
      <c r="F27" s="23"/>
      <c r="G27" s="23"/>
      <c r="H27" s="23"/>
      <c r="I27" s="23"/>
      <c r="J27" s="23"/>
      <c r="K27" s="23"/>
      <c r="L27" s="23"/>
      <c r="M27" s="23"/>
      <c r="N27" s="23"/>
      <c r="O27" s="23"/>
    </row>
    <row r="28" spans="1:29" x14ac:dyDescent="0.25">
      <c r="A28" s="11" t="s">
        <v>128</v>
      </c>
      <c r="B28" s="23">
        <f>'1765-2010 Annual Accounts'!AK33/240</f>
        <v>789.57500000000005</v>
      </c>
      <c r="C28" s="23">
        <f>'1765-2010 Annual Accounts'!AO33/240</f>
        <v>659.17499999999995</v>
      </c>
      <c r="D28" s="23">
        <f>'1765-2010 Annual Accounts'!AS33/240</f>
        <v>708.3</v>
      </c>
      <c r="E28" s="23">
        <f>'1765-2010 Annual Accounts'!AW33/240</f>
        <v>987.4</v>
      </c>
      <c r="F28" s="23">
        <f>'1765-2010 Annual Accounts'!BA33/240</f>
        <v>1351.1</v>
      </c>
      <c r="G28" s="23">
        <f>'1765-2010 Annual Accounts'!BE33/240</f>
        <v>5002.8125</v>
      </c>
      <c r="H28" s="23">
        <f>'1765-2010 Annual Accounts'!BI33/240</f>
        <v>5936.5541666666668</v>
      </c>
      <c r="I28" s="23">
        <f>'1765-2010 Annual Accounts'!BM33/240</f>
        <v>16414.054166666665</v>
      </c>
      <c r="J28" s="23">
        <f>'1765-2010 Annual Accounts'!BN33</f>
        <v>79019</v>
      </c>
      <c r="K28" s="23">
        <f>'1765-2010 Annual Accounts'!BR33</f>
        <v>203362</v>
      </c>
      <c r="L28" s="23">
        <f>'1765-2010 Annual Accounts'!BW33</f>
        <v>758122</v>
      </c>
      <c r="M28" s="23">
        <f>'1765-2010 Annual Accounts'!BY33</f>
        <v>1284060</v>
      </c>
      <c r="N28" s="23">
        <f>'1765-2010 Annual Accounts'!CC33</f>
        <v>1773000</v>
      </c>
      <c r="O28" s="23">
        <f>'1765-2010 Annual Accounts'!CG33</f>
        <v>4406000</v>
      </c>
    </row>
    <row r="29" spans="1:29" x14ac:dyDescent="0.25">
      <c r="A29" s="4" t="s">
        <v>129</v>
      </c>
      <c r="B29" s="23">
        <f>'1765-2010 Annual Accounts'!AK36/240</f>
        <v>0</v>
      </c>
      <c r="C29" s="23">
        <f>'1765-2010 Annual Accounts'!AO36/240</f>
        <v>0</v>
      </c>
      <c r="D29" s="23">
        <f>'1765-2010 Annual Accounts'!AS36/240</f>
        <v>488.33333333333331</v>
      </c>
      <c r="E29" s="23">
        <f>'1765-2010 Annual Accounts'!AW36/240</f>
        <v>774.3</v>
      </c>
      <c r="F29" s="23">
        <f>'1765-2010 Annual Accounts'!BA36/240</f>
        <v>535</v>
      </c>
      <c r="G29" s="23">
        <f>'1765-2010 Annual Accounts'!BE36/240</f>
        <v>1940</v>
      </c>
      <c r="H29" s="23">
        <f>'1765-2010 Annual Accounts'!BI36/240</f>
        <v>1695</v>
      </c>
      <c r="I29" s="23">
        <f>'1765-2010 Annual Accounts'!BM36/240</f>
        <v>1095.7375</v>
      </c>
      <c r="J29" s="23">
        <f>'1765-2010 Annual Accounts'!BN34</f>
        <v>0</v>
      </c>
      <c r="K29" s="23">
        <f>'1765-2010 Annual Accounts'!BR34</f>
        <v>0</v>
      </c>
      <c r="L29" s="23">
        <f>'1765-2010 Annual Accounts'!BW34</f>
        <v>0</v>
      </c>
      <c r="M29" s="23"/>
      <c r="N29" s="23"/>
      <c r="O29" s="23"/>
    </row>
    <row r="30" spans="1:29" x14ac:dyDescent="0.25">
      <c r="A30" s="11" t="s">
        <v>12</v>
      </c>
      <c r="B30" s="23">
        <f>'1765-2010 Annual Accounts'!AK37/240</f>
        <v>789.57500000000005</v>
      </c>
      <c r="C30" s="23">
        <f>'1765-2010 Annual Accounts'!AO37/240</f>
        <v>659.17499999999995</v>
      </c>
      <c r="D30" s="23">
        <f>'1765-2010 Annual Accounts'!AS37/240</f>
        <v>1196.6333333333334</v>
      </c>
      <c r="E30" s="23">
        <f>'1765-2010 Annual Accounts'!AW37/240</f>
        <v>1761.7</v>
      </c>
      <c r="F30" s="23">
        <f>'1765-2010 Annual Accounts'!BA37/240</f>
        <v>1886.1</v>
      </c>
      <c r="G30" s="23">
        <f>'1765-2010 Annual Accounts'!BE37/240</f>
        <v>6942.8125</v>
      </c>
      <c r="H30" s="23">
        <f>'1765-2010 Annual Accounts'!BI37/240</f>
        <v>7631.5541666666668</v>
      </c>
      <c r="I30" s="23">
        <f>'1765-2010 Annual Accounts'!BM37/240</f>
        <v>17509.791666666668</v>
      </c>
      <c r="J30" s="23">
        <f>'1765-2010 Annual Accounts'!BN37</f>
        <v>79019</v>
      </c>
      <c r="K30" s="23">
        <f>'1765-2010 Annual Accounts'!BR37</f>
        <v>203362</v>
      </c>
      <c r="L30" s="23">
        <f>'1765-2010 Annual Accounts'!BW37</f>
        <v>758122</v>
      </c>
      <c r="M30" s="23">
        <f>'1765-2010 Annual Accounts'!BY37</f>
        <v>1284060</v>
      </c>
      <c r="N30" s="23">
        <f>'1765-2010 Annual Accounts'!CC37</f>
        <v>1773000</v>
      </c>
      <c r="O30" s="23">
        <f>'1765-2010 Annual Accounts'!CG37</f>
        <v>4406000</v>
      </c>
    </row>
    <row r="31" spans="1:29" x14ac:dyDescent="0.25">
      <c r="A31" s="11" t="s">
        <v>20</v>
      </c>
      <c r="B31" s="23"/>
      <c r="C31" s="23"/>
      <c r="D31" s="23"/>
      <c r="E31" s="23"/>
      <c r="F31" s="23"/>
      <c r="G31" s="23"/>
      <c r="H31" s="23"/>
      <c r="I31" s="23"/>
      <c r="J31" s="23"/>
      <c r="K31" s="23"/>
      <c r="L31" s="23"/>
      <c r="M31" s="23"/>
      <c r="N31" s="23"/>
      <c r="O31" s="23"/>
    </row>
    <row r="32" spans="1:29" x14ac:dyDescent="0.25">
      <c r="A32" s="11" t="s">
        <v>76</v>
      </c>
      <c r="B32" s="23">
        <f>('1765-2010 Annual Accounts'!AK47)/240</f>
        <v>2121.7291666666665</v>
      </c>
      <c r="C32" s="23">
        <f>('1765-2010 Annual Accounts'!AO47)/240</f>
        <v>2196.8083333333334</v>
      </c>
      <c r="D32" s="23">
        <f>('1765-2010 Annual Accounts'!AS47)/240</f>
        <v>2016.55</v>
      </c>
      <c r="E32" s="23">
        <f>('1765-2010 Annual Accounts'!AW47)/240</f>
        <v>2563.1999999999998</v>
      </c>
      <c r="F32" s="23">
        <f>('1765-2010 Annual Accounts'!BA47)/240</f>
        <v>6134.0375000000004</v>
      </c>
      <c r="G32" s="23">
        <f>('1765-2010 Annual Accounts'!BE47)/240</f>
        <v>9284.9833333333336</v>
      </c>
      <c r="H32" s="23">
        <f>('1765-2010 Annual Accounts'!BI47)/240</f>
        <v>9421.7958333333336</v>
      </c>
      <c r="I32" s="23">
        <f>('1765-2010 Annual Accounts'!BM47)/240</f>
        <v>19305.724999999999</v>
      </c>
      <c r="J32" s="23">
        <f>'1765-2010 Annual Accounts'!BN47</f>
        <v>78033</v>
      </c>
      <c r="K32" s="23">
        <f>'1765-2010 Annual Accounts'!BR47</f>
        <v>124783</v>
      </c>
      <c r="L32" s="23">
        <f>'1765-2010 Annual Accounts'!BW47</f>
        <v>567587</v>
      </c>
      <c r="M32" s="23">
        <f>'1765-2010 Annual Accounts'!BY47</f>
        <v>1214875</v>
      </c>
      <c r="N32" s="23">
        <f>'1765-2010 Annual Accounts'!CC47</f>
        <v>1532000</v>
      </c>
      <c r="O32" s="23">
        <f>'1765-2010 Annual Accounts'!CG47</f>
        <v>2984000</v>
      </c>
    </row>
    <row r="33" spans="1:15" x14ac:dyDescent="0.25">
      <c r="A33" s="12" t="s">
        <v>38</v>
      </c>
      <c r="B33" s="23">
        <f>('1765-2010 Annual Accounts'!AK48)/240</f>
        <v>-1332.1541666666667</v>
      </c>
      <c r="C33" s="23">
        <f>('1765-2010 Annual Accounts'!AO48)/240</f>
        <v>-1537.6333333333334</v>
      </c>
      <c r="D33" s="23">
        <f>('1765-2010 Annual Accounts'!AS48)/240</f>
        <v>-1308.25</v>
      </c>
      <c r="E33" s="23">
        <f>('1765-2010 Annual Accounts'!AW48)/240</f>
        <v>-1575.8</v>
      </c>
      <c r="F33" s="23">
        <f>('1765-2010 Annual Accounts'!BA48)/240</f>
        <v>-4782.9375</v>
      </c>
      <c r="G33" s="23">
        <f>('1765-2010 Annual Accounts'!BE48)/240</f>
        <v>-4282.1708333333336</v>
      </c>
      <c r="H33" s="23">
        <f>('1765-2010 Annual Accounts'!BI48)/240</f>
        <v>-3485.2416666666668</v>
      </c>
      <c r="I33" s="23">
        <f>('1765-2010 Annual Accounts'!BM48)/240</f>
        <v>-2891.6708333333331</v>
      </c>
      <c r="J33" s="23">
        <f>'1765-2010 Annual Accounts'!BN48</f>
        <v>986</v>
      </c>
      <c r="K33" s="23">
        <f>'1765-2010 Annual Accounts'!BR48</f>
        <v>78579</v>
      </c>
      <c r="L33" s="23">
        <f>'1765-2010 Annual Accounts'!BW48</f>
        <v>190535</v>
      </c>
      <c r="M33" s="23">
        <f>'1765-2010 Annual Accounts'!BY48</f>
        <v>69185</v>
      </c>
      <c r="N33" s="23">
        <f>'1765-2010 Annual Accounts'!CC48</f>
        <v>241000</v>
      </c>
      <c r="O33" s="23">
        <f>'1765-2010 Annual Accounts'!CG48</f>
        <v>1422000</v>
      </c>
    </row>
    <row r="34" spans="1:15" x14ac:dyDescent="0.25">
      <c r="A34" s="12" t="s">
        <v>39</v>
      </c>
      <c r="B34" s="23">
        <f>('1765-2010 Annual Accounts'!AK49)/240</f>
        <v>-1332.1541666666667</v>
      </c>
      <c r="C34" s="23">
        <f>('1765-2010 Annual Accounts'!AO49)/240</f>
        <v>-1537.6333333333334</v>
      </c>
      <c r="D34" s="23">
        <f>('1765-2010 Annual Accounts'!AS49)/240</f>
        <v>-819.91666666666663</v>
      </c>
      <c r="E34" s="23">
        <f>('1765-2010 Annual Accounts'!AW49)/240</f>
        <v>-801.5</v>
      </c>
      <c r="F34" s="23">
        <f>('1765-2010 Annual Accounts'!BA49)/240</f>
        <v>-4247.9375</v>
      </c>
      <c r="G34" s="23">
        <f>('1765-2010 Annual Accounts'!BE49)/240</f>
        <v>-2342.1708333333331</v>
      </c>
      <c r="H34" s="23">
        <f>('1765-2010 Annual Accounts'!BI49)/240</f>
        <v>-1790.2416666666666</v>
      </c>
      <c r="I34" s="23">
        <f>('1765-2010 Annual Accounts'!BM49)/240</f>
        <v>-1795.9333333333334</v>
      </c>
      <c r="J34" s="23">
        <f>'1765-2010 Annual Accounts'!BN49</f>
        <v>986</v>
      </c>
      <c r="K34" s="23">
        <f>'1765-2010 Annual Accounts'!BR49</f>
        <v>78579</v>
      </c>
      <c r="L34" s="23">
        <f>'1765-2010 Annual Accounts'!BW49</f>
        <v>190535</v>
      </c>
      <c r="M34" s="23">
        <f>'1765-2010 Annual Accounts'!BY49</f>
        <v>69185</v>
      </c>
      <c r="N34" s="23">
        <f>'1765-2010 Annual Accounts'!CC49</f>
        <v>241000</v>
      </c>
      <c r="O34" s="23">
        <f>'1765-2010 Annual Accounts'!CG49</f>
        <v>1422000</v>
      </c>
    </row>
    <row r="35" spans="1:15" x14ac:dyDescent="0.25">
      <c r="A35" s="21" t="s">
        <v>48</v>
      </c>
      <c r="B35" s="23">
        <f>('1765-2010 Annual Accounts'!AK51)/240</f>
        <v>-1332.1541666666667</v>
      </c>
      <c r="C35" s="23">
        <f>('1765-2010 Annual Accounts'!AO51)/240</f>
        <v>-1537.6333333333334</v>
      </c>
      <c r="D35" s="23">
        <f>('1765-2010 Annual Accounts'!AS51)/240</f>
        <v>-819.91666666666663</v>
      </c>
      <c r="E35" s="23">
        <f>('1765-2010 Annual Accounts'!AW51)/240</f>
        <v>-801.5</v>
      </c>
      <c r="F35" s="23">
        <f>('1765-2010 Annual Accounts'!BA51)/240</f>
        <v>-4247.9375</v>
      </c>
      <c r="G35" s="23">
        <f>('1765-2010 Annual Accounts'!BE51)/240</f>
        <v>0</v>
      </c>
      <c r="H35" s="23">
        <f>('1765-2010 Annual Accounts'!BI51)/240</f>
        <v>0</v>
      </c>
      <c r="I35" s="23">
        <f>('1765-2010 Annual Accounts'!BM51)/240</f>
        <v>-1560.5166666666667</v>
      </c>
      <c r="J35" s="23">
        <f>'1765-2010 Annual Accounts'!BN51</f>
        <v>986</v>
      </c>
      <c r="K35" s="23">
        <f>'1765-2010 Annual Accounts'!BR51</f>
        <v>78579</v>
      </c>
      <c r="L35" s="23">
        <f>'1765-2010 Annual Accounts'!BW51</f>
        <v>190535</v>
      </c>
      <c r="M35" s="23">
        <f>'1765-2010 Annual Accounts'!BY51</f>
        <v>69185</v>
      </c>
      <c r="N35" s="23">
        <f>'1765-2010 Annual Accounts'!CC51</f>
        <v>241000</v>
      </c>
      <c r="O35" s="23">
        <f>'1765-2010 Annual Accounts'!CG51</f>
        <v>1422000</v>
      </c>
    </row>
    <row r="36" spans="1:15" x14ac:dyDescent="0.25">
      <c r="A36" t="s">
        <v>28</v>
      </c>
      <c r="B36" s="23">
        <f>('1765-2010 Annual Accounts'!AK52)/240</f>
        <v>0</v>
      </c>
      <c r="C36" s="23">
        <f>('1765-2010 Annual Accounts'!AO52)/240</f>
        <v>0</v>
      </c>
      <c r="D36" s="23">
        <f>('1765-2010 Annual Accounts'!AS52)/240</f>
        <v>0</v>
      </c>
      <c r="E36" s="23">
        <f>('1765-2010 Annual Accounts'!AW52)/240</f>
        <v>0</v>
      </c>
      <c r="F36" s="23">
        <f>('1765-2010 Annual Accounts'!BA52)/240</f>
        <v>0</v>
      </c>
      <c r="G36" s="23">
        <f>('1765-2010 Annual Accounts'!BE52)/240</f>
        <v>0</v>
      </c>
      <c r="H36" s="23">
        <f>('1765-2010 Annual Accounts'!BI52)/240</f>
        <v>0</v>
      </c>
      <c r="I36" s="23"/>
      <c r="J36" s="23">
        <f>'1765-2010 Annual Accounts'!BN52</f>
        <v>0</v>
      </c>
      <c r="K36" s="23">
        <f>'1765-2010 Annual Accounts'!BR52</f>
        <v>0</v>
      </c>
      <c r="L36" s="23"/>
      <c r="M36" s="23">
        <f>'1765-2010 Annual Accounts'!BY52</f>
        <v>0</v>
      </c>
      <c r="N36" s="23">
        <f>'1765-2010 Annual Accounts'!CC52</f>
        <v>0</v>
      </c>
      <c r="O36" s="23"/>
    </row>
    <row r="37" spans="1:15" ht="18.75" x14ac:dyDescent="0.3">
      <c r="A37" s="18" t="s">
        <v>44</v>
      </c>
      <c r="B37" s="23">
        <f>('1765-2010 Annual Accounts'!AK53)/240</f>
        <v>0</v>
      </c>
      <c r="C37" s="23">
        <f>('1765-2010 Annual Accounts'!AO53)/240</f>
        <v>0</v>
      </c>
      <c r="D37" s="23">
        <f>('1765-2010 Annual Accounts'!AS53)/240</f>
        <v>0</v>
      </c>
      <c r="E37" s="23">
        <f>('1765-2010 Annual Accounts'!AW53)/240</f>
        <v>0</v>
      </c>
      <c r="F37" s="23">
        <f>('1765-2010 Annual Accounts'!BA53)/240</f>
        <v>0</v>
      </c>
      <c r="G37" s="23">
        <f>('1765-2010 Annual Accounts'!BE53)/240</f>
        <v>0</v>
      </c>
      <c r="H37" s="23">
        <f>('1765-2010 Annual Accounts'!BI53)/240</f>
        <v>0</v>
      </c>
      <c r="I37" s="23"/>
      <c r="J37" s="23"/>
      <c r="K37" s="23"/>
      <c r="L37" s="23"/>
      <c r="M37" s="23"/>
      <c r="N37" s="23"/>
      <c r="O37" s="23"/>
    </row>
    <row r="38" spans="1:15" x14ac:dyDescent="0.25">
      <c r="A38" s="17" t="s">
        <v>46</v>
      </c>
      <c r="B38" s="23">
        <f>('1765-2010 Annual Accounts'!AK54)/240</f>
        <v>100.35</v>
      </c>
      <c r="C38" s="23">
        <f>('1765-2010 Annual Accounts'!AO54)/240</f>
        <v>1671.4625000000001</v>
      </c>
      <c r="D38" s="23">
        <f>('1765-2010 Annual Accounts'!AS54)/240</f>
        <v>-282.38333333333333</v>
      </c>
      <c r="E38" s="23">
        <f>('1765-2010 Annual Accounts'!AW54)/240</f>
        <v>-775.61666666666667</v>
      </c>
      <c r="F38" s="23">
        <f>('1765-2010 Annual Accounts'!BA54)/240</f>
        <v>-5483.1791666666668</v>
      </c>
      <c r="G38" s="23">
        <f>('1765-2010 Annual Accounts'!BE54)/240</f>
        <v>-3563.7916666666665</v>
      </c>
      <c r="H38" s="23">
        <f>('1765-2010 Annual Accounts'!BI54)/240</f>
        <v>-6448.354166666667</v>
      </c>
      <c r="I38" s="23">
        <f>('1765-2010 Annual Accounts'!BM54)/240</f>
        <v>-8150.6833333333334</v>
      </c>
      <c r="J38" s="23">
        <f>'1765-2010 Annual Accounts'!BN54</f>
        <v>-34175</v>
      </c>
      <c r="K38" s="23">
        <f>'1765-2010 Annual Accounts'!BR54</f>
        <v>-90229</v>
      </c>
      <c r="L38" s="23">
        <f>'1765-2010 Annual Accounts'!BW54</f>
        <v>94394</v>
      </c>
      <c r="M38" s="23">
        <f>'1765-2010 Annual Accounts'!BY54</f>
        <v>-211873</v>
      </c>
      <c r="N38" s="23">
        <f>'1765-2010 Annual Accounts'!CC54</f>
        <v>-1006000</v>
      </c>
      <c r="O38" s="23">
        <f>'1765-2010 Annual Accounts'!CG54</f>
        <v>-622000</v>
      </c>
    </row>
    <row r="39" spans="1:15" x14ac:dyDescent="0.25">
      <c r="A39" s="12" t="s">
        <v>47</v>
      </c>
      <c r="B39" s="23">
        <f>('1765-2010 Annual Accounts'!AK55)/240</f>
        <v>100.35</v>
      </c>
      <c r="C39" s="23">
        <f>('1765-2010 Annual Accounts'!AO55)/240</f>
        <v>1671.4625000000001</v>
      </c>
      <c r="D39" s="23">
        <f>('1765-2010 Annual Accounts'!AS55)/240</f>
        <v>205.95</v>
      </c>
      <c r="E39" s="23">
        <f>('1765-2010 Annual Accounts'!AW55)/240</f>
        <v>-1.3166666666666667</v>
      </c>
      <c r="F39" s="23">
        <f>('1765-2010 Annual Accounts'!BA55)/240</f>
        <v>-4948.1791666666668</v>
      </c>
      <c r="G39" s="23">
        <f>('1765-2010 Annual Accounts'!BE55)/240</f>
        <v>-1623.7916666666667</v>
      </c>
      <c r="H39" s="23">
        <f>('1765-2010 Annual Accounts'!BI55)/240</f>
        <v>-4753.354166666667</v>
      </c>
      <c r="I39" s="23">
        <f>('1765-2010 Annual Accounts'!BM55)/240</f>
        <v>-7054.9458333333332</v>
      </c>
      <c r="J39" s="23">
        <f>'1765-2010 Annual Accounts'!BN55</f>
        <v>-34175</v>
      </c>
      <c r="K39" s="23">
        <f>'1765-2010 Annual Accounts'!BR55</f>
        <v>-90229</v>
      </c>
      <c r="L39" s="23">
        <f>'1765-2010 Annual Accounts'!BW55</f>
        <v>94394</v>
      </c>
      <c r="M39" s="23">
        <f>'1765-2010 Annual Accounts'!BY55</f>
        <v>-211873</v>
      </c>
      <c r="N39" s="23">
        <f>'1765-2010 Annual Accounts'!CC55</f>
        <v>-1006000</v>
      </c>
      <c r="O39" s="23">
        <f>'1765-2010 Annual Accounts'!CG55</f>
        <v>-622000</v>
      </c>
    </row>
    <row r="40" spans="1:15" x14ac:dyDescent="0.25">
      <c r="A40" s="20" t="s">
        <v>45</v>
      </c>
      <c r="B40" s="23">
        <f>('1765-2010 Annual Accounts'!AK56)/240</f>
        <v>100.35</v>
      </c>
      <c r="C40" s="23">
        <f>('1765-2010 Annual Accounts'!AO56)/240</f>
        <v>1671.4625000000001</v>
      </c>
      <c r="D40" s="23">
        <f>('1765-2010 Annual Accounts'!AS56)/240</f>
        <v>205.95</v>
      </c>
      <c r="E40" s="23">
        <f>('1765-2010 Annual Accounts'!AW56)/240</f>
        <v>-1.3166666666666667</v>
      </c>
      <c r="F40" s="23">
        <f>('1765-2010 Annual Accounts'!BA56)/240</f>
        <v>-4948.1791666666668</v>
      </c>
      <c r="G40" s="23">
        <f>('1765-2010 Annual Accounts'!BE56)/240</f>
        <v>718.37916666666672</v>
      </c>
      <c r="H40" s="23">
        <f>('1765-2010 Annual Accounts'!BI56)/240</f>
        <v>-1139.7583333333334</v>
      </c>
      <c r="I40" s="23">
        <f>('1765-2010 Annual Accounts'!BM56)/240</f>
        <v>-4845.2</v>
      </c>
      <c r="J40" s="23">
        <f>'1765-2010 Annual Accounts'!BN56</f>
        <v>4427</v>
      </c>
      <c r="K40" s="23">
        <f>'1765-2010 Annual Accounts'!BR56</f>
        <v>-73490</v>
      </c>
      <c r="L40" s="23">
        <f>'1765-2010 Annual Accounts'!BW56</f>
        <v>207165</v>
      </c>
      <c r="M40" s="23">
        <f>'1765-2010 Annual Accounts'!BY56</f>
        <v>-92881</v>
      </c>
      <c r="N40" s="23">
        <f>'1765-2010 Annual Accounts'!CC56</f>
        <v>-98000</v>
      </c>
      <c r="O40" s="23">
        <f>'1765-2010 Annual Accounts'!CG56</f>
        <v>1398000</v>
      </c>
    </row>
    <row r="41" spans="1:15" x14ac:dyDescent="0.25">
      <c r="A41" s="7" t="s">
        <v>57</v>
      </c>
      <c r="L41" s="23">
        <f>'1765-2010 Annual Accounts'!BW57</f>
        <v>0</v>
      </c>
      <c r="M41" s="23">
        <f>'1765-2010 Annual Accounts'!BY57</f>
        <v>0</v>
      </c>
      <c r="N41" s="23">
        <f>'1765-2010 Annual Accounts'!CC57</f>
        <v>0</v>
      </c>
      <c r="O41" s="23">
        <f>'1765-2010 Annual Accounts'!CG57</f>
        <v>0</v>
      </c>
    </row>
    <row r="42" spans="1:15" x14ac:dyDescent="0.25">
      <c r="O42" s="23"/>
    </row>
    <row r="43" spans="1:15" x14ac:dyDescent="0.25">
      <c r="A43" t="s">
        <v>131</v>
      </c>
      <c r="B43" s="44">
        <f>B28/(B28+B13)%</f>
        <v>18.804087128838631</v>
      </c>
      <c r="C43" s="44">
        <f t="shared" ref="C43:O43" si="0">C28/(C28+C13)%</f>
        <v>8.7879015123109596</v>
      </c>
      <c r="D43" s="44">
        <f t="shared" si="0"/>
        <v>11.390427971919264</v>
      </c>
      <c r="E43" s="44">
        <f t="shared" si="0"/>
        <v>15.264439722223475</v>
      </c>
      <c r="F43" s="44">
        <f t="shared" si="0"/>
        <v>16.63218980958824</v>
      </c>
      <c r="G43" s="44">
        <f t="shared" si="0"/>
        <v>38.824580509894048</v>
      </c>
      <c r="H43" s="44">
        <f t="shared" si="0"/>
        <v>46.851011748488695</v>
      </c>
      <c r="I43" s="44">
        <f t="shared" si="0"/>
        <v>66.296028589243363</v>
      </c>
      <c r="J43" s="44">
        <f t="shared" si="0"/>
        <v>61.410230504997124</v>
      </c>
      <c r="K43" s="44">
        <f t="shared" si="0"/>
        <v>55.803679230786123</v>
      </c>
      <c r="L43" s="44">
        <f t="shared" ref="L43" si="1">L28/(L28+L13)%</f>
        <v>45.321407391820024</v>
      </c>
      <c r="M43" s="44">
        <f t="shared" si="0"/>
        <v>35.078162733215173</v>
      </c>
      <c r="N43" s="44">
        <f t="shared" ref="N43" si="2">N28/(N28+N13)%</f>
        <v>33.059854559015477</v>
      </c>
      <c r="O43" s="44">
        <f t="shared" si="0"/>
        <v>29.592316475250186</v>
      </c>
    </row>
    <row r="44" spans="1:15" x14ac:dyDescent="0.25">
      <c r="A44" t="s">
        <v>132</v>
      </c>
      <c r="B44" s="44">
        <f>B32/(B32+B22)%</f>
        <v>51.685934978329492</v>
      </c>
      <c r="C44" s="44">
        <f t="shared" ref="C44:O44" si="3">C32/(C32+C22)%</f>
        <v>43.305885590140164</v>
      </c>
      <c r="D44" s="44">
        <f t="shared" si="3"/>
        <v>37.002671380447694</v>
      </c>
      <c r="E44" s="44">
        <f t="shared" si="3"/>
        <v>35.628473913469037</v>
      </c>
      <c r="F44" s="44">
        <f t="shared" si="3"/>
        <v>45.081394423042774</v>
      </c>
      <c r="G44" s="44">
        <f t="shared" si="3"/>
        <v>55.864561037231574</v>
      </c>
      <c r="H44" s="44">
        <f t="shared" si="3"/>
        <v>46.320498137229464</v>
      </c>
      <c r="I44" s="44">
        <f t="shared" si="3"/>
        <v>48.425083778143438</v>
      </c>
      <c r="J44" s="44">
        <f t="shared" si="3"/>
        <v>47.917395869793488</v>
      </c>
      <c r="K44" s="44">
        <f t="shared" si="3"/>
        <v>27.445766331685924</v>
      </c>
      <c r="L44" s="44">
        <f t="shared" ref="L44" si="4">L32/(L32+L22)%</f>
        <v>35.960235026679356</v>
      </c>
      <c r="M44" s="44">
        <f t="shared" si="3"/>
        <v>31.372330785672393</v>
      </c>
      <c r="N44" s="44">
        <f t="shared" ref="N44" si="5">N32/(N32+N22)%</f>
        <v>24.054011618778457</v>
      </c>
      <c r="O44" s="44">
        <f t="shared" si="3"/>
        <v>19.237960157307718</v>
      </c>
    </row>
    <row r="45" spans="1:15" x14ac:dyDescent="0.25">
      <c r="A45" t="s">
        <v>133</v>
      </c>
      <c r="B45" s="44">
        <f>B34/(B13+B30)%</f>
        <v>-31.725856339227327</v>
      </c>
      <c r="C45" s="44">
        <f t="shared" ref="C45:O45" si="6">C34/(C13+C30)%</f>
        <v>-20.499215375855794</v>
      </c>
      <c r="D45" s="44">
        <f t="shared" si="6"/>
        <v>-12.225314066566396</v>
      </c>
      <c r="E45" s="44">
        <f t="shared" si="6"/>
        <v>-11.065964909454795</v>
      </c>
      <c r="F45" s="44">
        <f t="shared" si="6"/>
        <v>-49.061436937233907</v>
      </c>
      <c r="G45" s="44">
        <f t="shared" si="6"/>
        <v>-15.798063270832934</v>
      </c>
      <c r="H45" s="44">
        <f t="shared" si="6"/>
        <v>-12.461541495739979</v>
      </c>
      <c r="I45" s="44">
        <f t="shared" si="6"/>
        <v>-6.9463174641647996</v>
      </c>
      <c r="J45" s="44">
        <f t="shared" si="6"/>
        <v>0.76627756967219485</v>
      </c>
      <c r="K45" s="44">
        <f t="shared" si="6"/>
        <v>21.562520580422806</v>
      </c>
      <c r="L45" s="44">
        <f t="shared" ref="L45" si="7">L34/(L13+L30)%</f>
        <v>11.390402016298733</v>
      </c>
      <c r="M45" s="44">
        <f t="shared" si="6"/>
        <v>1.8900072338500473</v>
      </c>
      <c r="N45" s="44">
        <f t="shared" ref="N45" si="8">N34/(N13+N30)%</f>
        <v>4.4937534961775123</v>
      </c>
      <c r="O45" s="44">
        <f t="shared" si="6"/>
        <v>9.5506749949627245</v>
      </c>
    </row>
    <row r="47" spans="1:15" x14ac:dyDescent="0.25">
      <c r="A47" t="s">
        <v>93</v>
      </c>
      <c r="B47" s="44">
        <f t="shared" ref="B47:M47" si="9">B4/(B13+B28)%</f>
        <v>35.127794718724601</v>
      </c>
      <c r="C47" s="44">
        <f t="shared" si="9"/>
        <v>20.344123651210264</v>
      </c>
      <c r="D47" s="44">
        <f t="shared" si="9"/>
        <v>24.926109496646703</v>
      </c>
      <c r="E47" s="44">
        <f t="shared" si="9"/>
        <v>26.701883642270939</v>
      </c>
      <c r="F47" s="44">
        <f t="shared" si="9"/>
        <v>20.724788509743195</v>
      </c>
      <c r="G47" s="44">
        <f t="shared" si="9"/>
        <v>16.452367679375428</v>
      </c>
      <c r="H47" s="44">
        <f t="shared" si="9"/>
        <v>17.441218096776399</v>
      </c>
      <c r="I47" s="44">
        <f t="shared" si="9"/>
        <v>10.21861818096143</v>
      </c>
      <c r="J47" s="44">
        <f t="shared" si="9"/>
        <v>2.5296485692525295</v>
      </c>
      <c r="K47" s="44">
        <f t="shared" si="9"/>
        <v>1.7397317410488882</v>
      </c>
      <c r="L47" s="44">
        <f t="shared" ref="L47" si="10">L4/(L13+L28)%</f>
        <v>0.97682404254505106</v>
      </c>
      <c r="M47" s="44">
        <f t="shared" si="9"/>
        <v>1.5803285173229946</v>
      </c>
      <c r="N47" s="44">
        <f t="shared" ref="N47" si="11">N4/(N13+N28)%</f>
        <v>2.7223568898004848</v>
      </c>
      <c r="O47" s="44">
        <f>O4/(O13+O28)%</f>
        <v>1.3634226610249178</v>
      </c>
    </row>
    <row r="48" spans="1:15" x14ac:dyDescent="0.25">
      <c r="A48" t="s">
        <v>94</v>
      </c>
      <c r="B48" s="44">
        <f t="shared" ref="B48:M48" si="12">B5/(B13+B28)%</f>
        <v>46.068118152436767</v>
      </c>
      <c r="C48" s="44">
        <f t="shared" si="12"/>
        <v>44.12976155758308</v>
      </c>
      <c r="D48" s="44">
        <f t="shared" si="12"/>
        <v>53.708261330156375</v>
      </c>
      <c r="E48" s="44">
        <f t="shared" si="12"/>
        <v>54.864535311770723</v>
      </c>
      <c r="F48" s="44">
        <f t="shared" si="12"/>
        <v>62.643021680668561</v>
      </c>
      <c r="G48" s="44">
        <f t="shared" si="12"/>
        <v>44.645219953410816</v>
      </c>
      <c r="H48" s="44">
        <f t="shared" si="12"/>
        <v>35.707770154734909</v>
      </c>
      <c r="I48" s="44">
        <f t="shared" si="12"/>
        <v>23.485353229795219</v>
      </c>
      <c r="J48" s="44">
        <f t="shared" si="12"/>
        <v>12.321059421483749</v>
      </c>
      <c r="K48" s="44">
        <f t="shared" si="12"/>
        <v>10.627181524817246</v>
      </c>
      <c r="L48" s="44">
        <f t="shared" ref="L48" si="13">L5/(L13+L28)%</f>
        <v>19.238591364731988</v>
      </c>
      <c r="M48" s="44">
        <f t="shared" si="12"/>
        <v>16.131676832666408</v>
      </c>
      <c r="N48" s="44">
        <f t="shared" ref="N48" si="14">N5/(N13+N28)%</f>
        <v>12.548946485176208</v>
      </c>
      <c r="O48" s="44">
        <f>O5/(O13+O28)%</f>
        <v>7.3074081536704947</v>
      </c>
    </row>
  </sheetData>
  <pageMargins left="0.7" right="0.7"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9"/>
  <sheetViews>
    <sheetView zoomScale="120" zoomScaleNormal="120" zoomScalePageLayoutView="130" workbookViewId="0">
      <pane xSplit="1" ySplit="1" topLeftCell="B21" activePane="bottomRight" state="frozen"/>
      <selection pane="topRight" activeCell="B1" sqref="B1"/>
      <selection pane="bottomLeft" activeCell="A2" sqref="A2"/>
      <selection pane="bottomRight" activeCell="H28" sqref="H28"/>
    </sheetView>
  </sheetViews>
  <sheetFormatPr defaultColWidth="8.85546875" defaultRowHeight="15" x14ac:dyDescent="0.25"/>
  <cols>
    <col min="1" max="1" width="39.7109375" customWidth="1"/>
    <col min="2" max="2" width="12.28515625" style="44" bestFit="1" customWidth="1"/>
    <col min="3" max="9" width="13.85546875" style="44" bestFit="1" customWidth="1"/>
    <col min="10" max="10" width="15.140625" style="44" bestFit="1" customWidth="1"/>
    <col min="11" max="11" width="13.42578125" style="44" customWidth="1"/>
    <col min="12" max="15" width="13.42578125" customWidth="1"/>
  </cols>
  <sheetData>
    <row r="1" spans="1:18" s="10" customFormat="1" ht="18.75" x14ac:dyDescent="0.3">
      <c r="A1" s="18" t="s">
        <v>155</v>
      </c>
      <c r="B1" s="31">
        <v>1880</v>
      </c>
      <c r="C1" s="31">
        <v>1890</v>
      </c>
      <c r="D1" s="31">
        <v>1900</v>
      </c>
      <c r="E1" s="31">
        <v>1910</v>
      </c>
      <c r="F1" s="31">
        <v>1920</v>
      </c>
      <c r="G1" s="31">
        <v>1930</v>
      </c>
      <c r="H1" s="31">
        <v>1940</v>
      </c>
      <c r="I1" s="33">
        <v>1950</v>
      </c>
      <c r="J1" s="33">
        <v>1960</v>
      </c>
      <c r="K1" s="48">
        <v>1970</v>
      </c>
      <c r="L1" s="33">
        <v>1980</v>
      </c>
      <c r="M1" s="33">
        <v>1990</v>
      </c>
      <c r="N1" s="33">
        <v>2000</v>
      </c>
      <c r="O1" s="33">
        <v>2010</v>
      </c>
      <c r="P1" s="31"/>
      <c r="Q1" s="12"/>
      <c r="R1" s="9"/>
    </row>
    <row r="2" spans="1:18" x14ac:dyDescent="0.25">
      <c r="A2" s="46" t="s">
        <v>134</v>
      </c>
      <c r="B2" s="55">
        <v>11.135857461024498</v>
      </c>
      <c r="C2" s="56">
        <v>11.135857461024498</v>
      </c>
      <c r="D2" s="56">
        <v>11.915367483296215</v>
      </c>
      <c r="E2" s="56">
        <v>11.915367483296215</v>
      </c>
      <c r="F2" s="56">
        <v>33.296213808463257</v>
      </c>
      <c r="G2" s="56">
        <v>22.605790645879729</v>
      </c>
      <c r="H2" s="56">
        <v>25.835189309576833</v>
      </c>
      <c r="I2" s="56">
        <v>44.209354120267257</v>
      </c>
      <c r="J2" s="56">
        <v>66.369710467706014</v>
      </c>
      <c r="K2" s="56">
        <v>100</v>
      </c>
      <c r="L2" s="56">
        <v>362.71186440677968</v>
      </c>
      <c r="M2" s="56">
        <v>689.22518159806293</v>
      </c>
      <c r="N2" s="56">
        <v>903.02663438256661</v>
      </c>
      <c r="O2" s="56">
        <v>1166.8280871670702</v>
      </c>
    </row>
    <row r="3" spans="1:18" x14ac:dyDescent="0.25">
      <c r="A3" s="46" t="s">
        <v>135</v>
      </c>
      <c r="B3" s="55">
        <f>100/B2</f>
        <v>8.98</v>
      </c>
      <c r="C3" s="55">
        <f t="shared" ref="C3:O3" si="0">100/C2</f>
        <v>8.98</v>
      </c>
      <c r="D3" s="55">
        <f t="shared" si="0"/>
        <v>8.3925233644859798</v>
      </c>
      <c r="E3" s="55">
        <f t="shared" si="0"/>
        <v>8.3925233644859798</v>
      </c>
      <c r="F3" s="55">
        <f t="shared" si="0"/>
        <v>3.0033444816053505</v>
      </c>
      <c r="G3" s="55">
        <f t="shared" si="0"/>
        <v>4.4236453201970454</v>
      </c>
      <c r="H3" s="55">
        <f t="shared" si="0"/>
        <v>3.8706896551724146</v>
      </c>
      <c r="I3" s="55">
        <f t="shared" si="0"/>
        <v>2.261964735516373</v>
      </c>
      <c r="J3" s="55">
        <f t="shared" si="0"/>
        <v>1.506711409395973</v>
      </c>
      <c r="K3" s="55">
        <f t="shared" si="0"/>
        <v>1</v>
      </c>
      <c r="L3" s="55">
        <f t="shared" si="0"/>
        <v>0.27570093457943923</v>
      </c>
      <c r="M3" s="55">
        <f t="shared" si="0"/>
        <v>0.14509046197084138</v>
      </c>
      <c r="N3" s="55">
        <f t="shared" si="0"/>
        <v>0.11073870492023059</v>
      </c>
      <c r="O3" s="55">
        <f t="shared" si="0"/>
        <v>8.5702427889603652E-2</v>
      </c>
    </row>
    <row r="4" spans="1:18" x14ac:dyDescent="0.25">
      <c r="A4" s="46"/>
      <c r="B4" s="55">
        <v>8.98</v>
      </c>
      <c r="C4" s="55">
        <v>8.98</v>
      </c>
      <c r="D4" s="55">
        <v>8.3925233644859798</v>
      </c>
      <c r="E4" s="55">
        <v>8.3925233644859798</v>
      </c>
      <c r="F4" s="55">
        <v>3.0033444816053505</v>
      </c>
      <c r="G4" s="55">
        <v>4.4236453201970454</v>
      </c>
      <c r="H4" s="55">
        <v>3.8706896551724146</v>
      </c>
      <c r="I4" s="55">
        <v>2.261964735516373</v>
      </c>
      <c r="J4" s="55">
        <v>1.506711409395973</v>
      </c>
      <c r="K4" s="55">
        <v>1</v>
      </c>
      <c r="L4" s="55">
        <v>0.27570093457943901</v>
      </c>
      <c r="M4" s="55">
        <v>0.14509046197084138</v>
      </c>
      <c r="N4" s="55">
        <v>0.11073870492023059</v>
      </c>
      <c r="O4" s="55">
        <v>8.5702427889603652E-2</v>
      </c>
    </row>
    <row r="5" spans="1:18" x14ac:dyDescent="0.25">
      <c r="A5" s="1" t="s">
        <v>17</v>
      </c>
      <c r="J5" s="23"/>
      <c r="K5" s="23"/>
      <c r="L5" s="23"/>
      <c r="M5" s="23"/>
    </row>
    <row r="6" spans="1:18" x14ac:dyDescent="0.25">
      <c r="A6" s="3" t="s">
        <v>1</v>
      </c>
      <c r="B6" s="74">
        <f>((('1765-2010 Annual Accounts'!AK6)/240))*8.98</f>
        <v>13245.5</v>
      </c>
      <c r="C6" s="74">
        <f>((('1765-2010 Annual Accounts'!AO6)/240))*8.98</f>
        <v>13703.480000000001</v>
      </c>
      <c r="D6" s="74">
        <f>((('1765-2010 Annual Accounts'!AS6)/240))*8.39252336448598</f>
        <v>13008.411214953268</v>
      </c>
      <c r="E6" s="74">
        <f>((('1765-2010 Annual Accounts'!AW6)/240))*8.39252336448598</f>
        <v>14495.951012461057</v>
      </c>
      <c r="F6" s="74">
        <f>((('1765-2010 Annual Accounts'!BA6)/240))*3.00334448160535</f>
        <v>5056.3056298773672</v>
      </c>
      <c r="G6" s="74">
        <f>((('1765-2010 Annual Accounts'!BE6)/240))*4.42364532019705</f>
        <v>9378.1280788177464</v>
      </c>
      <c r="H6" s="74">
        <f>((('1765-2010 Annual Accounts'!BI6)/240))*3.87068965517241</f>
        <v>8554.2241379310271</v>
      </c>
      <c r="I6" s="74">
        <f>(('1765-2010 Annual Accounts'!BM6)/240)*2.26196473551637</f>
        <v>5722.7707808564155</v>
      </c>
      <c r="J6" s="74">
        <f>'1765-2010 Annual Accounts'!BN6*J4</f>
        <v>4904.3456375838923</v>
      </c>
      <c r="K6" s="74">
        <f>'1765-2010 Annual Accounts'!BR6</f>
        <v>6340</v>
      </c>
      <c r="L6" s="45">
        <f>('1765-2010 Annual Accounts'!BW6)*0.275700934579439</f>
        <v>4504.9532710280337</v>
      </c>
      <c r="M6" s="45">
        <f>('1765-2010 Annual Accounts'!BY6)*0.145090461970841</f>
        <v>8393.3381345511807</v>
      </c>
      <c r="N6" s="45">
        <f>('1880-2010 summary table'!N4)*0.110738704920231</f>
        <v>16167.850918353726</v>
      </c>
      <c r="O6" s="45">
        <f>('1765-2010 Annual Accounts'!CG6)*0.0857024278896037</f>
        <v>17397.59286158955</v>
      </c>
    </row>
    <row r="7" spans="1:18" x14ac:dyDescent="0.25">
      <c r="A7" s="3" t="s">
        <v>70</v>
      </c>
      <c r="B7" s="74">
        <f>((('1765-2010 Annual Accounts'!AK7)/240))*8.98</f>
        <v>17370.724916666666</v>
      </c>
      <c r="C7" s="74">
        <f>((('1765-2010 Annual Accounts'!AO7)/240))*8.98</f>
        <v>29725.109583333335</v>
      </c>
      <c r="D7" s="74">
        <f>((('1765-2010 Annual Accounts'!AS7)/240))*8.39252336448598</f>
        <v>28029.209657320866</v>
      </c>
      <c r="E7" s="74">
        <f>((('1765-2010 Annual Accounts'!AW7)/240))*8.39252336448598</f>
        <v>29784.925545171332</v>
      </c>
      <c r="F7" s="74">
        <f>((('1765-2010 Annual Accounts'!BA7)/240))*3.00334448160535</f>
        <v>15283.256716833885</v>
      </c>
      <c r="G7" s="74">
        <f>((('1765-2010 Annual Accounts'!BE7)/240))*4.42364532019705</f>
        <v>25448.531116584596</v>
      </c>
      <c r="H7" s="74">
        <f>((('1765-2010 Annual Accounts'!BI7)/240))*3.87068965517241</f>
        <v>17513.241774425271</v>
      </c>
      <c r="I7" s="74">
        <f>(('1765-2010 Annual Accounts'!BM7)/240)*2.26196473551637</f>
        <v>13152.589798488649</v>
      </c>
      <c r="J7" s="74">
        <f>('1765-2010 Annual Accounts'!BN7)*1.50671140939597</f>
        <v>23887.402684563705</v>
      </c>
      <c r="K7" s="74">
        <f>'1765-2010 Annual Accounts'!BR7</f>
        <v>38728</v>
      </c>
      <c r="L7" s="45">
        <f>('1765-2010 Annual Accounts'!BW7)*0.275700934579439</f>
        <v>88725.247663551316</v>
      </c>
      <c r="M7" s="45">
        <f>('1765-2010 Annual Accounts'!BY7)*0.145090461970841</f>
        <v>85677.513788863289</v>
      </c>
      <c r="N7" s="45">
        <f>('1880-2010 summary table'!N5)*0.110738704920231</f>
        <v>74527.148411315458</v>
      </c>
      <c r="O7" s="45">
        <f>('1765-2010 Annual Accounts'!CG7)*0.0857024278896037</f>
        <v>93244.241543888813</v>
      </c>
    </row>
    <row r="8" spans="1:18" x14ac:dyDescent="0.25">
      <c r="A8" s="3" t="s">
        <v>41</v>
      </c>
      <c r="B8" s="74">
        <f>((('1765-2010 Annual Accounts'!AK8)/240))*8.98</f>
        <v>0</v>
      </c>
      <c r="C8" s="74">
        <f>((('1765-2010 Annual Accounts'!AO8)/240))*8.98</f>
        <v>18010.437666666665</v>
      </c>
      <c r="D8" s="74">
        <f>((('1765-2010 Annual Accounts'!AS8)/240))*8.39252336448598</f>
        <v>5205.8472741433015</v>
      </c>
      <c r="E8" s="74">
        <f>((('1765-2010 Annual Accounts'!AW8)/240))*8.39252336448598</f>
        <v>1720.4672897196258</v>
      </c>
      <c r="F8" s="74">
        <f>((('1765-2010 Annual Accounts'!BA8)/240))*3.00334448160535</f>
        <v>0</v>
      </c>
      <c r="G8" s="74">
        <f>((('1765-2010 Annual Accounts'!BE8)/240))*4.42364532019705</f>
        <v>44.365476190476244</v>
      </c>
      <c r="H8" s="74">
        <f>(('1765-2010 Annual Accounts'!BI8)/240)*3.87068965517241</f>
        <v>0</v>
      </c>
      <c r="I8" s="74">
        <v>0</v>
      </c>
      <c r="J8" s="74"/>
      <c r="K8" s="74">
        <f>'1765-2010 Annual Accounts'!BR8</f>
        <v>0</v>
      </c>
      <c r="L8" s="45">
        <f>('1765-2010 Annual Accounts'!BW8)*0.275700934579439</f>
        <v>0</v>
      </c>
      <c r="M8" s="45">
        <f>('1765-2010 Annual Accounts'!BY8)*0.145090461970841</f>
        <v>2813.8844194624903</v>
      </c>
      <c r="N8" s="45">
        <f>('1880-2010 summary table'!N6)*0.110738704920231</f>
        <v>0</v>
      </c>
      <c r="O8" s="45">
        <f>('1765-2010 Annual Accounts'!CG8)*0.0857024278896037</f>
        <v>0</v>
      </c>
    </row>
    <row r="9" spans="1:18" x14ac:dyDescent="0.25">
      <c r="A9" s="3" t="s">
        <v>125</v>
      </c>
      <c r="B9" s="74">
        <f>((('1765-2010 Annual Accounts'!AK9)/240))*8.98</f>
        <v>0</v>
      </c>
      <c r="C9" s="74">
        <f>((('1765-2010 Annual Accounts'!AO9)/240))*8.98</f>
        <v>0</v>
      </c>
      <c r="D9" s="74">
        <f>((('1765-2010 Annual Accounts'!AS9)/240))*8.39252336448598</f>
        <v>0</v>
      </c>
      <c r="E9" s="74">
        <f>((('1765-2010 Annual Accounts'!AW9)/240))*8.39252336448598</f>
        <v>0</v>
      </c>
      <c r="F9" s="74">
        <f>((('1765-2010 Annual Accounts'!BA9)/240))*3.00334448160535</f>
        <v>0</v>
      </c>
      <c r="G9" s="74">
        <f>((('1765-2010 Annual Accounts'!BE9)/240))*4.42364532019705</f>
        <v>0</v>
      </c>
      <c r="H9" s="74">
        <f>(('1765-2010 Annual Accounts'!BI9)/240)*3.87068965517241</f>
        <v>0</v>
      </c>
      <c r="I9" s="74">
        <v>0</v>
      </c>
      <c r="J9" s="74"/>
      <c r="K9" s="74">
        <f>'1765-2010 Annual Accounts'!BR9</f>
        <v>0</v>
      </c>
      <c r="L9" s="45">
        <f>('1765-2010 Annual Accounts'!BW9)*0.275700934579439</f>
        <v>0</v>
      </c>
      <c r="M9" s="45">
        <f>('1765-2010 Annual Accounts'!BY9)*0.145090461970841</f>
        <v>330.80625329351744</v>
      </c>
      <c r="N9" s="45">
        <f>('1880-2010 summary table'!N7)*0.110738704920231</f>
        <v>6533.5835902936287</v>
      </c>
      <c r="O9" s="45">
        <f>('1765-2010 Annual Accounts'!CG9)*0.0857024278896037</f>
        <v>251793.73313965564</v>
      </c>
    </row>
    <row r="10" spans="1:18" x14ac:dyDescent="0.25">
      <c r="A10" s="3" t="s">
        <v>130</v>
      </c>
      <c r="B10" s="74">
        <f>((('1765-2010 Annual Accounts'!AK10)/240))*8.98</f>
        <v>0</v>
      </c>
      <c r="C10" s="74">
        <f>((('1765-2010 Annual Accounts'!AO10)/240))*8.98</f>
        <v>0</v>
      </c>
      <c r="D10" s="74">
        <f>((('1765-2010 Annual Accounts'!AS10)/240))*8.39252336448598</f>
        <v>0</v>
      </c>
      <c r="E10" s="74">
        <f>((('1765-2010 Annual Accounts'!AW10)/240))*8.39252336448598</f>
        <v>0</v>
      </c>
      <c r="F10" s="74">
        <f>((('1765-2010 Annual Accounts'!BA10)/240))*3.00334448160535</f>
        <v>0</v>
      </c>
      <c r="G10" s="74">
        <f>((('1765-2010 Annual Accounts'!BE10)/240))*4.42364532019705</f>
        <v>0</v>
      </c>
      <c r="H10" s="74">
        <f>(('1765-2010 Annual Accounts'!BI10)/240)*3.87068965517241</f>
        <v>8968.5169540229799</v>
      </c>
      <c r="I10" s="74">
        <f>(('1765-2010 Annual Accounts'!BM10)/240)*2.26196473551637</f>
        <v>14894.604240134322</v>
      </c>
      <c r="J10" s="74">
        <f>('1765-2010 Annual Accounts'!BN10)*1.50671140939597</f>
        <v>38181.573825503277</v>
      </c>
      <c r="K10" s="74">
        <f>'1765-2010 Annual Accounts'!BR10</f>
        <v>58879</v>
      </c>
      <c r="L10" s="45">
        <f>('1765-2010 Annual Accounts'!BW10)*0.275700934579439</f>
        <v>122464.42523364475</v>
      </c>
      <c r="M10" s="45">
        <f>('1765-2010 Annual Accounts'!BY10)*0.145090461970841</f>
        <v>196511.24714561689</v>
      </c>
      <c r="N10" s="45">
        <f>('1880-2010 summary table'!N8)*0.110738704920231</f>
        <v>208853.19747955565</v>
      </c>
      <c r="O10" s="45">
        <f>('1765-2010 Annual Accounts'!CG10)*0.0857024278896037</f>
        <v>151693.29736459855</v>
      </c>
    </row>
    <row r="11" spans="1:18" x14ac:dyDescent="0.25">
      <c r="A11" s="3" t="s">
        <v>126</v>
      </c>
      <c r="B11" s="74">
        <f>((('1765-2010 Annual Accounts'!AK11)/240))*8.98</f>
        <v>0</v>
      </c>
      <c r="C11" s="74">
        <f>((('1765-2010 Annual Accounts'!AO11)/240))*8.98</f>
        <v>0</v>
      </c>
      <c r="D11" s="74">
        <f>((('1765-2010 Annual Accounts'!AS11)/240))*8.39252336448598</f>
        <v>0</v>
      </c>
      <c r="E11" s="74">
        <f>((('1765-2010 Annual Accounts'!AW11)/240))*8.39252336448598</f>
        <v>0</v>
      </c>
      <c r="F11" s="74">
        <f>((('1765-2010 Annual Accounts'!BA11)/240))*3.00334448160535</f>
        <v>0</v>
      </c>
      <c r="G11" s="74">
        <f>((('1765-2010 Annual Accounts'!BE11)/240))*4.42364532019705</f>
        <v>0</v>
      </c>
      <c r="H11" s="74">
        <f>(('1765-2010 Annual Accounts'!BI11)/240)*3.87068965517241</f>
        <v>0</v>
      </c>
      <c r="I11" s="74">
        <v>0</v>
      </c>
      <c r="J11" s="74">
        <f>'1765-2010 Annual Accounts'!BN11</f>
        <v>0</v>
      </c>
      <c r="K11" s="74">
        <f>'1765-2010 Annual Accounts'!BR11</f>
        <v>13709</v>
      </c>
      <c r="L11" s="45">
        <f>('1765-2010 Annual Accounts'!BW11)*0.275700934579439</f>
        <v>20223.490654205591</v>
      </c>
      <c r="M11" s="45">
        <f>('1765-2010 Annual Accounts'!BY11)*0.145090461970841</f>
        <v>6733.0679782188472</v>
      </c>
      <c r="N11" s="45">
        <f>('1880-2010 summary table'!N9)*0.110738704920231</f>
        <v>97339.321624883043</v>
      </c>
      <c r="O11" s="45">
        <f>('1765-2010 Annual Accounts'!CG11)*0.0857024278896037</f>
        <v>330125.75223075342</v>
      </c>
    </row>
    <row r="12" spans="1:18" x14ac:dyDescent="0.25">
      <c r="A12" s="3" t="s">
        <v>120</v>
      </c>
      <c r="B12" s="74">
        <f>((('1765-2010 Annual Accounts'!AK12)/240))*8.98</f>
        <v>0</v>
      </c>
      <c r="C12" s="74">
        <f>((('1765-2010 Annual Accounts'!AO12)/240))*8.98</f>
        <v>0</v>
      </c>
      <c r="D12" s="74">
        <f>((('1765-2010 Annual Accounts'!AS12)/240))*8.39252336448598</f>
        <v>0</v>
      </c>
      <c r="E12" s="74">
        <f>((('1765-2010 Annual Accounts'!AW12)/240))*8.39252336448598</f>
        <v>0</v>
      </c>
      <c r="F12" s="74">
        <f>((('1765-2010 Annual Accounts'!BA12)/240))*3.00334448160535</f>
        <v>0</v>
      </c>
      <c r="G12" s="74">
        <f>((('1765-2010 Annual Accounts'!BE12)/240))*4.42364532019705</f>
        <v>0</v>
      </c>
      <c r="H12" s="74">
        <f>(('1765-2010 Annual Accounts'!BI12)/240)*3.87068965517241</f>
        <v>0</v>
      </c>
      <c r="I12" s="74">
        <v>0</v>
      </c>
      <c r="J12" s="74">
        <f>'1765-2010 Annual Accounts'!BN12</f>
        <v>0</v>
      </c>
      <c r="K12" s="74">
        <f>'1765-2010 Annual Accounts'!BR12</f>
        <v>0</v>
      </c>
      <c r="L12" s="45">
        <f>('1765-2010 Annual Accounts'!BW12)*0.275700934579439</f>
        <v>11303.738317756999</v>
      </c>
      <c r="M12" s="45">
        <f>('1765-2010 Annual Accounts'!BY12)*0.145090461970841</f>
        <v>44329.924117336959</v>
      </c>
      <c r="N12" s="45">
        <f>('1880-2010 summary table'!N10)*0.110738704920231</f>
        <v>0</v>
      </c>
      <c r="O12" s="45">
        <f>('1765-2010 Annual Accounts'!CG12)*0.0857024278896037</f>
        <v>42422.701805353827</v>
      </c>
    </row>
    <row r="13" spans="1:18" x14ac:dyDescent="0.25">
      <c r="A13" s="3" t="s">
        <v>115</v>
      </c>
      <c r="B13" s="74">
        <f>((('1765-2010 Annual Accounts'!AK13)/240))*8.98</f>
        <v>0</v>
      </c>
      <c r="C13" s="74">
        <f>((('1765-2010 Annual Accounts'!AO13)/240))*8.98</f>
        <v>0</v>
      </c>
      <c r="D13" s="74">
        <f>((('1765-2010 Annual Accounts'!AS13)/240))*8.39252336448598</f>
        <v>0</v>
      </c>
      <c r="E13" s="74">
        <f>((('1765-2010 Annual Accounts'!AW13)/240))*8.39252336448598</f>
        <v>0</v>
      </c>
      <c r="F13" s="74">
        <f>((('1765-2010 Annual Accounts'!BA13)/240))*3.00334448160535</f>
        <v>0</v>
      </c>
      <c r="G13" s="74">
        <f>((('1765-2010 Annual Accounts'!BE13)/240))*4.42364532019705</f>
        <v>0</v>
      </c>
      <c r="H13" s="74">
        <f>(('1765-2010 Annual Accounts'!BI13)/240)*3.87068965517241</f>
        <v>0</v>
      </c>
      <c r="I13" s="74">
        <v>0</v>
      </c>
      <c r="J13" s="74">
        <f>'1765-2010 Annual Accounts'!BN13</f>
        <v>0</v>
      </c>
      <c r="K13" s="74">
        <f>'1765-2010 Annual Accounts'!BR13</f>
        <v>0</v>
      </c>
      <c r="L13" s="45">
        <f>('1765-2010 Annual Accounts'!BW13)*0.275700934579439</f>
        <v>0</v>
      </c>
      <c r="M13" s="45">
        <f>('1765-2010 Annual Accounts'!BY13)*0.145090461970841</f>
        <v>0</v>
      </c>
      <c r="N13" s="45">
        <f>('1880-2010 summary table'!N11)*0.110738704920231</f>
        <v>0</v>
      </c>
      <c r="O13" s="45">
        <f>('1765-2010 Annual Accounts'!CG13)*0.0857024278896037</f>
        <v>0</v>
      </c>
    </row>
    <row r="14" spans="1:18" x14ac:dyDescent="0.25">
      <c r="A14" s="3" t="s">
        <v>21</v>
      </c>
      <c r="B14" s="74">
        <f>((('1765-2010 Annual Accounts'!AK14)/240))*8.98</f>
        <v>57.808750000000003</v>
      </c>
      <c r="C14" s="74">
        <f>((('1765-2010 Annual Accounts'!AO14)/240))*8.98</f>
        <v>535.1705833333333</v>
      </c>
      <c r="D14" s="74">
        <f>((('1765-2010 Annual Accounts'!AS14)/240))*8.39252336448598</f>
        <v>0</v>
      </c>
      <c r="E14" s="74">
        <f>((('1765-2010 Annual Accounts'!AW14)/240))*8.39252336448598</f>
        <v>0</v>
      </c>
      <c r="F14" s="74">
        <f>((('1765-2010 Annual Accounts'!BA14)/240))*3.00334448160535</f>
        <v>0</v>
      </c>
      <c r="G14" s="74">
        <f>((('1765-2010 Annual Accounts'!BE14)/240))*4.42364532019705</f>
        <v>1288.14708538588</v>
      </c>
      <c r="H14" s="74">
        <f>(('1765-2010 Annual Accounts'!BI14)/240)*3.87068965517241</f>
        <v>157.06936063218376</v>
      </c>
      <c r="I14" s="74">
        <f>(('1765-2010 Annual Accounts'!BM14)/240)*2.26196473551637</f>
        <v>843.66572208228274</v>
      </c>
      <c r="J14" s="74">
        <f>('1765-2010 Annual Accounts'!BN14)*1.50671140939597</f>
        <v>7842.4328859060233</v>
      </c>
      <c r="K14" s="74">
        <f>'1765-2010 Annual Accounts'!BR14</f>
        <v>43406</v>
      </c>
      <c r="L14" s="45">
        <f>('1765-2010 Annual Accounts'!BW14)*0.275700934579439</f>
        <v>4946.9018691588744</v>
      </c>
      <c r="M14" s="45">
        <f>('1765-2010 Annual Accounts'!BY14)*0.145090461970841</f>
        <v>18.861760056209331</v>
      </c>
      <c r="N14" s="45">
        <f>('1880-2010 summary table'!N12)*0.110738704920231</f>
        <v>-5869.1513607722427</v>
      </c>
      <c r="O14" s="45">
        <f>('1765-2010 Annual Accounts'!CG14)*0.0857024278896037</f>
        <v>11741.232620875706</v>
      </c>
    </row>
    <row r="15" spans="1:18" x14ac:dyDescent="0.25">
      <c r="A15" s="1" t="s">
        <v>31</v>
      </c>
      <c r="B15" s="74">
        <f>((('1765-2010 Annual Accounts'!AK15)/240))*8.98</f>
        <v>30616.224916666666</v>
      </c>
      <c r="C15" s="74">
        <f>((('1765-2010 Annual Accounts'!AO15)/240))*8.98</f>
        <v>61439.027249999999</v>
      </c>
      <c r="D15" s="74">
        <f>((('1765-2010 Annual Accounts'!AS15)/240))*8.39252336448598</f>
        <v>46243.468146417435</v>
      </c>
      <c r="E15" s="74">
        <f>((('1765-2010 Annual Accounts'!AW15)/240))*8.39252336448598</f>
        <v>46001.343847352022</v>
      </c>
      <c r="F15" s="74">
        <f>((('1765-2010 Annual Accounts'!BA15)/240))*3.00334448160535</f>
        <v>20339.562346711253</v>
      </c>
      <c r="G15" s="74">
        <f>((('1765-2010 Annual Accounts'!BE15)/240))*4.42364532019705</f>
        <v>34871.024671592815</v>
      </c>
      <c r="H15" s="74">
        <f>(('1765-2010 Annual Accounts'!BI15)/240)*3.87068965517241</f>
        <v>26067.465912356296</v>
      </c>
      <c r="I15" s="74">
        <f>(('1765-2010 Annual Accounts'!BM15)/240)*2.26196473551637</f>
        <v>18875.360579345062</v>
      </c>
      <c r="J15" s="74">
        <f>('1765-2010 Annual Accounts'!BN15)*1.50671140939597</f>
        <v>74815.755033556881</v>
      </c>
      <c r="K15" s="74">
        <f>'1765-2010 Annual Accounts'!BR15</f>
        <v>161062</v>
      </c>
      <c r="L15" s="45">
        <f>('1765-2010 Annual Accounts'!BW15)*0.275700934579439</f>
        <v>252168.75700934557</v>
      </c>
      <c r="M15" s="45">
        <f>('1765-2010 Annual Accounts'!BY15)*0.145090461970841</f>
        <v>344808.64359739941</v>
      </c>
      <c r="N15" s="45">
        <f>('1880-2010 summary table'!N13)*0.110738704920231</f>
        <v>397551.95066362928</v>
      </c>
      <c r="O15" s="45">
        <f>('1765-2010 Annual Accounts'!CG15)*0.0857024278896037</f>
        <v>898418.55156671547</v>
      </c>
    </row>
    <row r="16" spans="1:18" x14ac:dyDescent="0.25">
      <c r="A16" s="1" t="s">
        <v>19</v>
      </c>
      <c r="B16" s="74"/>
      <c r="C16" s="74"/>
      <c r="D16" s="74"/>
      <c r="E16" s="74"/>
      <c r="F16" s="74"/>
      <c r="G16" s="74"/>
      <c r="H16" s="74"/>
      <c r="I16" s="74"/>
      <c r="J16" s="74"/>
      <c r="K16" s="74"/>
      <c r="L16" s="45"/>
      <c r="M16" s="45"/>
      <c r="N16" s="45"/>
      <c r="O16" s="45"/>
    </row>
    <row r="17" spans="1:29" x14ac:dyDescent="0.25">
      <c r="A17" s="3" t="s">
        <v>2</v>
      </c>
      <c r="B17" s="74">
        <f>((('1765-2010 Annual Accounts'!AK17)/240))*8.98</f>
        <v>5538.527250000001</v>
      </c>
      <c r="C17" s="74">
        <f>((('1765-2010 Annual Accounts'!AO17)/240))*8.98</f>
        <v>7857.3503333333338</v>
      </c>
      <c r="D17" s="74">
        <f>((('1765-2010 Annual Accounts'!AS17)/240))*8.39252336448598</f>
        <v>10081.13403426791</v>
      </c>
      <c r="E17" s="74">
        <f>((('1765-2010 Annual Accounts'!AW17)/240))*8.39252336448598</f>
        <v>13595.118535825542</v>
      </c>
      <c r="F17" s="74">
        <f>((('1765-2010 Annual Accounts'!BA17)/240))*3.00334448160535</f>
        <v>7467.5032051282033</v>
      </c>
      <c r="G17" s="74">
        <f>((('1765-2010 Annual Accounts'!BE17)/240))*4.42364532019705</f>
        <v>8218.156116584576</v>
      </c>
      <c r="H17" s="74">
        <f>(('1765-2010 Annual Accounts'!BI17)/240)*3.87068965517241</f>
        <v>20539.363074712623</v>
      </c>
      <c r="I17" s="74">
        <f>(('1765-2010 Annual Accounts'!BM17)/240)*2.26196473551637</f>
        <v>20794.609382871509</v>
      </c>
      <c r="J17" s="74">
        <f>('1765-2010 Annual Accounts'!BN17)*1.50671140939597</f>
        <v>35323.342281879122</v>
      </c>
      <c r="K17" s="74">
        <f>'1765-2010 Annual Accounts'!BR17</f>
        <v>111334</v>
      </c>
      <c r="L17" s="45">
        <f>('1765-2010 Annual Accounts'!BW17)*0.275700934579439</f>
        <v>67237.392523364426</v>
      </c>
      <c r="M17" s="45">
        <f>('1765-2010 Annual Accounts'!BY17)*0.145090461970841</f>
        <v>149471.61356051252</v>
      </c>
      <c r="N17" s="45">
        <f>('1880-2010 summary table'!N15)*0.110738704920231</f>
        <v>72644.59042767153</v>
      </c>
      <c r="O17" s="45">
        <f>('1765-2010 Annual Accounts'!CG17)*0.0857024278896037</f>
        <v>118183.64805976349</v>
      </c>
    </row>
    <row r="18" spans="1:29" x14ac:dyDescent="0.25">
      <c r="A18" s="3" t="s">
        <v>66</v>
      </c>
      <c r="B18" s="74">
        <f>((('1765-2010 Annual Accounts'!AK18)/240))*8.98</f>
        <v>9784.4957500000019</v>
      </c>
      <c r="C18" s="74">
        <f>((('1765-2010 Annual Accounts'!AO18)/240))*8.98</f>
        <v>15765.288</v>
      </c>
      <c r="D18" s="74">
        <f>((('1765-2010 Annual Accounts'!AS18)/240))*8.39252336448598</f>
        <v>16257.052102803736</v>
      </c>
      <c r="E18" s="74">
        <f>((('1765-2010 Annual Accounts'!AW18)/240))*8.39252336448598</f>
        <v>19735.228504672894</v>
      </c>
      <c r="F18" s="74">
        <f>((('1765-2010 Annual Accounts'!BA18)/240))*3.00334448160535</f>
        <v>13337.539994425859</v>
      </c>
      <c r="G18" s="74">
        <f>((('1765-2010 Annual Accounts'!BE18)/240))*4.42364532019705</f>
        <v>22198.110262725808</v>
      </c>
      <c r="H18" s="74">
        <f>(('1765-2010 Annual Accounts'!BI18)/240)*3.87068965517241</f>
        <v>20713.624748563197</v>
      </c>
      <c r="I18" s="74">
        <f>(('1765-2010 Annual Accounts'!BM18)/240)*2.26196473551637</f>
        <v>25249.021137699379</v>
      </c>
      <c r="J18" s="74">
        <f>('1765-2010 Annual Accounts'!BN18)*1.50671140939597</f>
        <v>88675.993288590413</v>
      </c>
      <c r="K18" s="74">
        <f>'1765-2010 Annual Accounts'!BR18</f>
        <v>205196</v>
      </c>
      <c r="L18" s="45">
        <f>('1765-2010 Annual Accounts'!BW18)*0.275700934579439</f>
        <v>198660.16822429889</v>
      </c>
      <c r="M18" s="45">
        <f>('1765-2010 Annual Accounts'!BY18)*0.145090461970841</f>
        <v>223667.24855085133</v>
      </c>
      <c r="N18" s="45">
        <f>('1880-2010 summary table'!N16)*0.110738704920231</f>
        <v>338085.26612146525</v>
      </c>
      <c r="O18" s="45">
        <f>('1765-2010 Annual Accounts'!CG18)*0.0857024278896037</f>
        <v>585690.39219755167</v>
      </c>
    </row>
    <row r="19" spans="1:29" x14ac:dyDescent="0.25">
      <c r="A19" s="3" t="s">
        <v>3</v>
      </c>
      <c r="B19" s="74">
        <f>((('1765-2010 Annual Accounts'!AK19)/240))*8.98</f>
        <v>2487.1232500000001</v>
      </c>
      <c r="C19" s="74">
        <f>((('1765-2010 Annual Accounts'!AO19)/240))*8.98</f>
        <v>2203.5049166666668</v>
      </c>
      <c r="D19" s="74">
        <f>((('1765-2010 Annual Accounts'!AS19)/240))*8.39252336448598</f>
        <v>2474.9551401869153</v>
      </c>
      <c r="E19" s="74">
        <f>((('1765-2010 Annual Accounts'!AW19)/240))*8.39252336448598</f>
        <v>5535.813317757008</v>
      </c>
      <c r="F19" s="74">
        <f>((('1765-2010 Annual Accounts'!BA19)/240))*3.00334448160535</f>
        <v>1637.5860925306572</v>
      </c>
      <c r="G19" s="74">
        <f>((('1765-2010 Annual Accounts'!BE19)/240))*4.42364532019705</f>
        <v>2033.5681855500845</v>
      </c>
      <c r="H19" s="74">
        <f>(('1765-2010 Annual Accounts'!BI19)/240)*3.87068965517241</f>
        <v>0</v>
      </c>
      <c r="I19" s="74">
        <v>0</v>
      </c>
      <c r="J19" s="74">
        <f>('1765-2010 Annual Accounts'!BN19)*1.50671140939597</f>
        <v>3793.8993288590523</v>
      </c>
      <c r="K19" s="74">
        <f>'1765-2010 Annual Accounts'!BR19</f>
        <v>3534</v>
      </c>
      <c r="L19" s="45">
        <f>('1765-2010 Annual Accounts'!BW19)*0.275700934579439</f>
        <v>1304.8925233644848</v>
      </c>
      <c r="M19" s="45">
        <f>('1765-2010 Annual Accounts'!BY19)*0.145090461970841</f>
        <v>1188.2908835411877</v>
      </c>
      <c r="N19" s="45">
        <f>('1880-2010 summary table'!N17)*0.110738704920231</f>
        <v>4429.5481968092399</v>
      </c>
      <c r="O19" s="45">
        <f>('1765-2010 Annual Accounts'!CG19)*0.0857024278896037</f>
        <v>0</v>
      </c>
    </row>
    <row r="20" spans="1:29" x14ac:dyDescent="0.25">
      <c r="A20" s="3" t="s">
        <v>122</v>
      </c>
      <c r="B20" s="74">
        <f>((('1765-2010 Annual Accounts'!AK20)/240))*8.98</f>
        <v>0</v>
      </c>
      <c r="C20" s="74">
        <f>((('1765-2010 Annual Accounts'!AO20)/240))*8.98</f>
        <v>0</v>
      </c>
      <c r="D20" s="74">
        <f>((('1765-2010 Annual Accounts'!AS20)/240))*8.39252336448598</f>
        <v>0</v>
      </c>
      <c r="E20" s="74">
        <f>((('1765-2010 Annual Accounts'!AW20)/240))*8.39252336448598</f>
        <v>0</v>
      </c>
      <c r="F20" s="74">
        <f>((('1765-2010 Annual Accounts'!BA20)/240))*3.00334448160535</f>
        <v>0</v>
      </c>
      <c r="G20" s="74">
        <f>((('1765-2010 Annual Accounts'!BE20)/240))*4.42364532019705</f>
        <v>0</v>
      </c>
      <c r="H20" s="74">
        <f>(('1765-2010 Annual Accounts'!BI20)/240)*3.87068965517241</f>
        <v>0</v>
      </c>
      <c r="I20" s="74">
        <v>0</v>
      </c>
      <c r="J20" s="74">
        <f>('1765-2010 Annual Accounts'!BN20)*1.50671140939597</f>
        <v>0</v>
      </c>
      <c r="K20" s="74">
        <f>'1765-2010 Annual Accounts'!BR20</f>
        <v>0</v>
      </c>
      <c r="L20" s="45">
        <f>('1765-2010 Annual Accounts'!BW20)*0.275700934579439</f>
        <v>0</v>
      </c>
      <c r="M20" s="45">
        <f>('1765-2010 Annual Accounts'!BY20)*0.145090461970841</f>
        <v>7148.7521517653067</v>
      </c>
      <c r="N20" s="45">
        <f>('1880-2010 summary table'!N18)*0.110738704920231</f>
        <v>0</v>
      </c>
      <c r="O20" s="45">
        <f>('1765-2010 Annual Accounts'!CG20)*0.0857024278896037</f>
        <v>0</v>
      </c>
    </row>
    <row r="21" spans="1:29" x14ac:dyDescent="0.25">
      <c r="A21" s="3" t="s">
        <v>127</v>
      </c>
      <c r="B21" s="74">
        <f>((('1765-2010 Annual Accounts'!AK21)/240))*8.98</f>
        <v>0</v>
      </c>
      <c r="C21" s="74">
        <f>((('1765-2010 Annual Accounts'!AO21)/240))*8.98</f>
        <v>0</v>
      </c>
      <c r="D21" s="74">
        <f>((('1765-2010 Annual Accounts'!AS21)/240))*8.39252336448598</f>
        <v>0</v>
      </c>
      <c r="E21" s="74">
        <f>((('1765-2010 Annual Accounts'!AW21)/240))*8.39252336448598</f>
        <v>0</v>
      </c>
      <c r="F21" s="74">
        <f>((('1765-2010 Annual Accounts'!BA21)/240))*3.00334448160535</f>
        <v>0</v>
      </c>
      <c r="G21" s="74">
        <f>((('1765-2010 Annual Accounts'!BE21)/240))*4.42364532019705</f>
        <v>0</v>
      </c>
      <c r="H21" s="74">
        <f>(('1765-2010 Annual Accounts'!BI21)/240)*3.87068965517241</f>
        <v>0</v>
      </c>
      <c r="I21" s="74">
        <v>0</v>
      </c>
      <c r="J21" s="74">
        <f>('1765-2010 Annual Accounts'!BN21)*1.50671140939597</f>
        <v>0</v>
      </c>
      <c r="K21" s="74">
        <f>'1765-2010 Annual Accounts'!BR21</f>
        <v>9806</v>
      </c>
      <c r="L21" s="45">
        <f>('1765-2010 Annual Accounts'!BW21)*0.275700934579439</f>
        <v>11472.467289719616</v>
      </c>
      <c r="M21" s="45">
        <f>('1765-2010 Annual Accounts'!BY21)*0.145090461970841</f>
        <v>0</v>
      </c>
      <c r="N21" s="45">
        <f>('1880-2010 summary table'!N19)*0.110738704920231</f>
        <v>90694.999329669183</v>
      </c>
      <c r="O21" s="45">
        <f>('1765-2010 Annual Accounts'!CG21)*0.0857024278896037</f>
        <v>291216.84996887337</v>
      </c>
    </row>
    <row r="22" spans="1:29" x14ac:dyDescent="0.25">
      <c r="A22" s="3" t="s">
        <v>105</v>
      </c>
      <c r="B22" s="74">
        <f>((('1765-2010 Annual Accounts'!AK22)/240))*8.98</f>
        <v>0</v>
      </c>
      <c r="C22" s="74">
        <f>((('1765-2010 Annual Accounts'!AO22)/240))*8.98</f>
        <v>0</v>
      </c>
      <c r="D22" s="74">
        <f>((('1765-2010 Annual Accounts'!AS22)/240))*8.39252336448598</f>
        <v>0</v>
      </c>
      <c r="E22" s="74">
        <f>((('1765-2010 Annual Accounts'!AW22)/240))*8.39252336448598</f>
        <v>0</v>
      </c>
      <c r="F22" s="74">
        <f>((('1765-2010 Annual Accounts'!BA22)/240))*3.00334448160535</f>
        <v>0</v>
      </c>
      <c r="G22" s="74">
        <f>((('1765-2010 Annual Accounts'!BE22)/240))*4.42364532019705</f>
        <v>0</v>
      </c>
      <c r="H22" s="74">
        <f>(('1765-2010 Annual Accounts'!BI22)/240)*3.87068965517241</f>
        <v>1009.7177801724129</v>
      </c>
      <c r="I22" s="74">
        <f>(('1765-2010 Annual Accounts'!BM22)/240)*2.26196473551637</f>
        <v>465.70083963056192</v>
      </c>
      <c r="J22" s="74">
        <f>('1765-2010 Annual Accounts'!BN22)*1.50671140939597</f>
        <v>0</v>
      </c>
      <c r="K22" s="74">
        <f>'1765-2010 Annual Accounts'!BR22</f>
        <v>0</v>
      </c>
      <c r="L22" s="45">
        <f>('1765-2010 Annual Accounts'!BW22)*0.275700934579439</f>
        <v>0</v>
      </c>
      <c r="M22" s="45">
        <f>('1765-2010 Annual Accounts'!BY22)*0.145090461970841</f>
        <v>732.70683295274705</v>
      </c>
      <c r="N22" s="45">
        <f>('1880-2010 summary table'!N20)*0.110738704920231</f>
        <v>29788.711623542138</v>
      </c>
      <c r="O22" s="45">
        <f>('1765-2010 Annual Accounts'!CG22)*0.0857024278896037</f>
        <v>78503.423946876981</v>
      </c>
    </row>
    <row r="23" spans="1:29" x14ac:dyDescent="0.25">
      <c r="A23" s="3" t="s">
        <v>41</v>
      </c>
      <c r="B23" s="74">
        <f>((('1765-2010 Annual Accounts'!AK23)/240))*8.98</f>
        <v>0</v>
      </c>
      <c r="C23" s="74">
        <f>((('1765-2010 Annual Accounts'!AO23)/240))*8.98</f>
        <v>7330.3739999999998</v>
      </c>
      <c r="D23" s="74">
        <f>((('1765-2010 Annual Accounts'!AS23)/240))*8.39252336448598</f>
        <v>8820.716900311525</v>
      </c>
      <c r="E23" s="74">
        <f>((('1765-2010 Annual Accounts'!AW23)/240))*8.39252336448598</f>
        <v>419.62616822429897</v>
      </c>
      <c r="F23" s="74">
        <f>((('1765-2010 Annual Accounts'!BA23)/240))*3.00334448160535</f>
        <v>0</v>
      </c>
      <c r="G23" s="74">
        <f>((('1765-2010 Annual Accounts'!BE23)/240))*4.42364532019705</f>
        <v>531.48255336617467</v>
      </c>
      <c r="H23" s="74">
        <f>(('1765-2010 Annual Accounts'!BI23)/240)*3.87068965517241</f>
        <v>4399.6355244252836</v>
      </c>
      <c r="I23" s="74">
        <v>0</v>
      </c>
      <c r="J23" s="74">
        <f>('1765-2010 Annual Accounts'!BN23)*1.50671140939597</f>
        <v>0</v>
      </c>
      <c r="K23" s="74">
        <f>'1765-2010 Annual Accounts'!BR23</f>
        <v>0</v>
      </c>
      <c r="L23" s="45">
        <f>('1765-2010 Annual Accounts'!BW23)*0.275700934579439</f>
        <v>0</v>
      </c>
      <c r="M23" s="45">
        <f>('1765-2010 Annual Accounts'!BY23)*0.145090461970841</f>
        <v>3378.8666783769449</v>
      </c>
      <c r="N23" s="45">
        <f>('1880-2010 summary table'!N21)*0.110738704920231</f>
        <v>0</v>
      </c>
      <c r="O23" s="45">
        <f>('1765-2010 Annual Accounts'!CG23)*0.0857024278896037</f>
        <v>0</v>
      </c>
    </row>
    <row r="24" spans="1:29" x14ac:dyDescent="0.25">
      <c r="A24" s="2" t="s">
        <v>33</v>
      </c>
      <c r="B24" s="74">
        <f>((('1765-2010 Annual Accounts'!AK24)/240))*8.98</f>
        <v>17810.146250000002</v>
      </c>
      <c r="C24" s="74">
        <f>((('1765-2010 Annual Accounts'!AO24)/240))*8.98</f>
        <v>25826.143250000001</v>
      </c>
      <c r="D24" s="74">
        <f>((('1765-2010 Annual Accounts'!AS24)/240))*8.39252336448598</f>
        <v>28813.141277258561</v>
      </c>
      <c r="E24" s="74">
        <f>((('1765-2010 Annual Accounts'!AW24)/240))*8.39252336448598</f>
        <v>38866.160358255445</v>
      </c>
      <c r="F24" s="74">
        <f>((('1765-2010 Annual Accounts'!BA24)/240))*3.00334448160535</f>
        <v>22442.629292084719</v>
      </c>
      <c r="G24" s="74">
        <f>((('1765-2010 Annual Accounts'!BE24)/240))*4.42364532019705</f>
        <v>32449.83456486047</v>
      </c>
      <c r="H24" s="74">
        <f>(('1765-2010 Annual Accounts'!BI24)/240)*3.87068965517241</f>
        <v>42262.705603448238</v>
      </c>
      <c r="I24" s="74">
        <f>(('1765-2010 Annual Accounts'!BM24)/240)*2.26196473551637</f>
        <v>46509.331360201446</v>
      </c>
      <c r="J24" s="74">
        <f>('1765-2010 Annual Accounts'!BN24)*1.50671140939597</f>
        <v>127793.23489932859</v>
      </c>
      <c r="K24" s="74">
        <f>'1765-2010 Annual Accounts'!BR24</f>
        <v>329870</v>
      </c>
      <c r="L24" s="45">
        <f>('1765-2010 Annual Accounts'!BW24)*0.275700934579439</f>
        <v>278674.92056074739</v>
      </c>
      <c r="M24" s="45">
        <f>('1765-2010 Annual Accounts'!BY24)*0.145090461970841</f>
        <v>385587.47865800001</v>
      </c>
      <c r="N24" s="45">
        <f>('1880-2010 summary table'!N22)*0.110738704920231</f>
        <v>535643.11569915735</v>
      </c>
      <c r="O24" s="45">
        <f>('1765-2010 Annual Accounts'!CG24)*0.0857024278896037</f>
        <v>1073594.3141730654</v>
      </c>
    </row>
    <row r="25" spans="1:29" x14ac:dyDescent="0.25">
      <c r="A25" s="12" t="s">
        <v>34</v>
      </c>
      <c r="B25" s="74">
        <f>((('1765-2010 Annual Accounts'!AK25)/240))*8.98</f>
        <v>12863.887416666666</v>
      </c>
      <c r="C25" s="74">
        <f>((('1765-2010 Annual Accounts'!AO25)/240))*8.98</f>
        <v>28817.680583333335</v>
      </c>
      <c r="D25" s="74">
        <f>((('1765-2010 Annual Accounts'!AS25)/240))*8.39252336448598</f>
        <v>8609.6099688473496</v>
      </c>
      <c r="E25" s="74">
        <f>((('1765-2010 Annual Accounts'!AW25)/240))*8.39252336448598</f>
        <v>6715.5573208722726</v>
      </c>
      <c r="F25" s="74">
        <f>((('1765-2010 Annual Accounts'!BA25)/240))*3.00334448160535</f>
        <v>-2103.0669453734663</v>
      </c>
      <c r="G25" s="74">
        <f>((('1765-2010 Annual Accounts'!BE25)/240))*4.42364532019705</f>
        <v>3177.8546387520569</v>
      </c>
      <c r="H25" s="74">
        <f>(('1765-2010 Annual Accounts'!BI25)/240)*3.87068965517241</f>
        <v>-11469.288900862059</v>
      </c>
      <c r="I25" s="74">
        <f>(('1765-2010 Annual Accounts'!BM25)/240)*2.26196473551637</f>
        <v>-11895.700818639783</v>
      </c>
      <c r="J25" s="74">
        <f>('1765-2010 Annual Accounts'!BN25)*1.50671140939597</f>
        <v>-52977.479865771696</v>
      </c>
      <c r="K25" s="74">
        <f>'1765-2010 Annual Accounts'!BR25</f>
        <v>-168808</v>
      </c>
      <c r="L25" s="45">
        <f>('1765-2010 Annual Accounts'!BW25)*0.275700934579439</f>
        <v>-26506.163551401845</v>
      </c>
      <c r="M25" s="45">
        <f>('1765-2010 Annual Accounts'!BY25)*0.145090461970841</f>
        <v>-40778.835060600628</v>
      </c>
      <c r="N25" s="45">
        <f>('1880-2010 summary table'!N23)*0.110738704920231</f>
        <v>-138091.16503552804</v>
      </c>
      <c r="O25" s="45">
        <f>('1765-2010 Annual Accounts'!CG25)*0.0857024278896037</f>
        <v>-175175.76260634995</v>
      </c>
    </row>
    <row r="26" spans="1:29" x14ac:dyDescent="0.25">
      <c r="A26" s="19" t="s">
        <v>22</v>
      </c>
      <c r="B26" s="74">
        <f>((('1765-2010 Annual Accounts'!AK26)/240))*8.98</f>
        <v>0</v>
      </c>
      <c r="C26" s="74">
        <f>((('1765-2010 Annual Accounts'!AO26)/240))*8.98</f>
        <v>0</v>
      </c>
      <c r="D26" s="74">
        <f>((('1765-2010 Annual Accounts'!AS26)/240))*8.39252336448598</f>
        <v>0</v>
      </c>
      <c r="E26" s="74">
        <f>((('1765-2010 Annual Accounts'!AW26)/240))*8.39252336448598</f>
        <v>0</v>
      </c>
      <c r="F26" s="74">
        <f>((('1765-2010 Annual Accounts'!BA26)/240))*3.00334448160535</f>
        <v>0</v>
      </c>
      <c r="G26" s="74">
        <f>((('1765-2010 Annual Accounts'!BE26)/240))*4.42364532019705</f>
        <v>0</v>
      </c>
      <c r="H26" s="74">
        <f>(('1765-2010 Annual Accounts'!BI26)/240)*3.87068965517241</f>
        <v>0</v>
      </c>
      <c r="I26" s="74">
        <v>0</v>
      </c>
      <c r="J26" s="74">
        <f>('1765-2010 Annual Accounts'!BN26)*1.50671140939597</f>
        <v>-58162.073825503234</v>
      </c>
      <c r="K26" s="74">
        <f>'1765-2010 Annual Accounts'!BR26</f>
        <v>-16739</v>
      </c>
      <c r="L26" s="45">
        <f>('1765-2010 Annual Accounts'!BW26)*0.275700934579439</f>
        <v>-31091.070093457914</v>
      </c>
      <c r="M26" s="45">
        <f>('1765-2010 Annual Accounts'!BY26)*0.145090461970841</f>
        <v>-17264.604250834313</v>
      </c>
      <c r="N26" s="45">
        <f>('1880-2010 summary table'!N24)*0.110738704920231</f>
        <v>-100550.74406756974</v>
      </c>
      <c r="O26" s="45">
        <f>('1765-2010 Annual Accounts'!CG26)*0.0857024278896037</f>
        <v>-173118.90433699946</v>
      </c>
    </row>
    <row r="27" spans="1:29" x14ac:dyDescent="0.25">
      <c r="A27" s="21" t="s">
        <v>40</v>
      </c>
      <c r="B27" s="74">
        <f>((('1765-2010 Annual Accounts'!AK27)/240))*8.98</f>
        <v>12863.887416666666</v>
      </c>
      <c r="C27" s="74">
        <f>((('1765-2010 Annual Accounts'!AO27)/240))*8.98</f>
        <v>28817.680583333335</v>
      </c>
      <c r="D27" s="74">
        <f>((('1765-2010 Annual Accounts'!AS27)/240))*8.39252336448598</f>
        <v>8609.6099688473496</v>
      </c>
      <c r="E27" s="74">
        <f>((('1765-2010 Annual Accounts'!AW27)/240))*8.39252336448598</f>
        <v>6715.5573208722726</v>
      </c>
      <c r="F27" s="74">
        <f>((('1765-2010 Annual Accounts'!BA27)/240))*3.00334448160535</f>
        <v>-2103.0669453734663</v>
      </c>
      <c r="G27" s="74">
        <f>((('1765-2010 Annual Accounts'!BE27)/240))*4.42364532019705</f>
        <v>3177.8546387520569</v>
      </c>
      <c r="H27" s="74">
        <f>(('1765-2010 Annual Accounts'!BI27)/240)*3.87068965517241</f>
        <v>-4411.6507902298817</v>
      </c>
      <c r="I27" s="74">
        <f>(('1765-2010 Annual Accounts'!BM27)/240)*2.26196473551637</f>
        <v>-7429.8378673383613</v>
      </c>
      <c r="J27" s="74">
        <f>('1765-2010 Annual Accounts'!BN27)*1.50671140939597</f>
        <v>5184.5939597315328</v>
      </c>
      <c r="K27" s="74">
        <f>'1765-2010 Annual Accounts'!BR27</f>
        <v>-152069</v>
      </c>
      <c r="L27" s="45">
        <f>('1765-2010 Annual Accounts'!BW27)*0.275700934579439</f>
        <v>4584.906542056071</v>
      </c>
      <c r="M27" s="45">
        <f>('1765-2010 Annual Accounts'!BY27)*0.145090461970841</f>
        <v>-23514.230809766315</v>
      </c>
      <c r="N27" s="45">
        <f>('1880-2010 summary table'!N25)*0.110738704920231</f>
        <v>-37540.420967958307</v>
      </c>
      <c r="O27" s="45">
        <f>('1765-2010 Annual Accounts'!CG27)*0.0857024278896037</f>
        <v>-2056.8582693504886</v>
      </c>
      <c r="AC27" s="35"/>
    </row>
    <row r="28" spans="1:29" ht="18.75" x14ac:dyDescent="0.3">
      <c r="A28" s="16" t="s">
        <v>35</v>
      </c>
      <c r="B28" s="74"/>
      <c r="C28" s="74"/>
      <c r="D28" s="74"/>
      <c r="E28" s="74"/>
      <c r="F28" s="74"/>
      <c r="G28" s="74"/>
      <c r="H28" s="74"/>
      <c r="I28" s="74"/>
      <c r="J28" s="74"/>
      <c r="K28" s="74"/>
      <c r="L28" s="45"/>
      <c r="M28" s="45"/>
      <c r="N28" s="45"/>
      <c r="O28" s="45"/>
    </row>
    <row r="29" spans="1:29" x14ac:dyDescent="0.25">
      <c r="A29" s="11" t="s">
        <v>18</v>
      </c>
      <c r="B29" s="74"/>
      <c r="C29" s="74"/>
      <c r="D29" s="74"/>
      <c r="E29" s="74"/>
      <c r="F29" s="74"/>
      <c r="G29" s="74"/>
      <c r="H29" s="74"/>
      <c r="I29" s="74"/>
      <c r="J29" s="74"/>
      <c r="K29" s="74"/>
      <c r="L29" s="45"/>
      <c r="M29" s="45"/>
      <c r="N29" s="45"/>
      <c r="O29" s="45"/>
    </row>
    <row r="30" spans="1:29" x14ac:dyDescent="0.25">
      <c r="A30" s="11" t="s">
        <v>75</v>
      </c>
      <c r="B30" s="74">
        <f>('1765-2010 Annual Accounts'!AK33/240)*8.98</f>
        <v>7090.3835000000008</v>
      </c>
      <c r="C30" s="74">
        <f>('1765-2010 Annual Accounts'!AO33/240)*8.98</f>
        <v>5919.3914999999997</v>
      </c>
      <c r="D30" s="74">
        <f>('1765-2010 Annual Accounts'!AS33/240)*8.39252336448598</f>
        <v>5944.4242990654193</v>
      </c>
      <c r="E30" s="74">
        <f>('1765-2010 Annual Accounts'!AW33/240)*8.39252336448598</f>
        <v>8286.7775700934562</v>
      </c>
      <c r="F30" s="74">
        <f>('1765-2010 Annual Accounts'!BA33/240)*3.00334448160535</f>
        <v>4057.8187290969881</v>
      </c>
      <c r="G30" s="74">
        <f>('1765-2010 Annual Accounts'!BE33/240)*4.42364532019705</f>
        <v>22130.668103448304</v>
      </c>
      <c r="H30" s="74">
        <f>('1765-2010 Annual Accounts'!BI33/240)*3.87068965517241</f>
        <v>22978.558800287334</v>
      </c>
      <c r="I30" s="74">
        <f>('1765-2010 Annual Accounts'!BM33/240)*2.26196473551637</f>
        <v>37128.011691855529</v>
      </c>
      <c r="J30" s="74">
        <f>('1765-2010 Annual Accounts'!BN33)*1.50671140939597</f>
        <v>119058.82885906014</v>
      </c>
      <c r="K30" s="74">
        <f>'1765-2010 Annual Accounts'!BR33</f>
        <v>203362</v>
      </c>
      <c r="L30" s="45">
        <f>('1765-2010 Annual Accounts'!BW33)*0.275700934579439</f>
        <v>209014.94392523347</v>
      </c>
      <c r="M30" s="45">
        <f>('1765-2010 Annual Accounts'!BY33)*0.145090461970841</f>
        <v>186304.85859827808</v>
      </c>
      <c r="N30" s="45">
        <f>('1880-2010 summary table'!N28)*0.110738704920231</f>
        <v>196339.72382356957</v>
      </c>
      <c r="O30" s="45">
        <f>('1765-2010 Annual Accounts'!CG33)*0.0857024278896037</f>
        <v>377604.89728159388</v>
      </c>
    </row>
    <row r="31" spans="1:29" x14ac:dyDescent="0.25">
      <c r="A31" s="4" t="s">
        <v>129</v>
      </c>
      <c r="B31" s="74">
        <f>('1765-2010 Annual Accounts'!AK36/240)*8.98</f>
        <v>0</v>
      </c>
      <c r="C31" s="74">
        <f>('1765-2010 Annual Accounts'!AO36/240)*8.98</f>
        <v>0</v>
      </c>
      <c r="D31" s="74">
        <f>('1765-2010 Annual Accounts'!AS36/240)*8.39252336448598</f>
        <v>4098.3489096573203</v>
      </c>
      <c r="E31" s="74">
        <f>('1765-2010 Annual Accounts'!AW36/240)*8.39252336448598</f>
        <v>6498.3308411214939</v>
      </c>
      <c r="F31" s="74">
        <f>('1765-2010 Annual Accounts'!BA36/240)*3.00334448160535</f>
        <v>1606.7892976588623</v>
      </c>
      <c r="G31" s="74">
        <f>('1765-2010 Annual Accounts'!BE36/240)*4.42364532019705</f>
        <v>8581.8719211822772</v>
      </c>
      <c r="H31" s="74">
        <f>('1765-2010 Annual Accounts'!BI36/240)*3.87068965517241</f>
        <v>6560.8189655172355</v>
      </c>
      <c r="I31" s="74">
        <f>('1765-2010 Annual Accounts'!BM36/240)*2.26196473551637</f>
        <v>2478.5195843828683</v>
      </c>
      <c r="J31" s="74">
        <f>('1765-2010 Annual Accounts'!BN34)*1.50671140939597</f>
        <v>0</v>
      </c>
      <c r="K31" s="74">
        <f>'1765-2010 Annual Accounts'!BR34</f>
        <v>0</v>
      </c>
      <c r="L31" s="45">
        <f>('1765-2010 Annual Accounts'!BW34)*0.275700934579439</f>
        <v>0</v>
      </c>
      <c r="M31" s="45">
        <v>0</v>
      </c>
      <c r="N31" s="45">
        <f>('1880-2010 summary table'!N29)*0.110738704920231</f>
        <v>0</v>
      </c>
      <c r="O31" s="45">
        <v>0</v>
      </c>
    </row>
    <row r="32" spans="1:29" x14ac:dyDescent="0.25">
      <c r="A32" s="11" t="s">
        <v>12</v>
      </c>
      <c r="B32" s="74">
        <f>('1765-2010 Annual Accounts'!AK37/240)*8.98</f>
        <v>7090.3835000000008</v>
      </c>
      <c r="C32" s="74">
        <f>('1765-2010 Annual Accounts'!AO37/240)*8.98</f>
        <v>5919.3914999999997</v>
      </c>
      <c r="D32" s="74">
        <f>('1765-2010 Annual Accounts'!AS37/240)*8.39252336448598</f>
        <v>10042.773208722741</v>
      </c>
      <c r="E32" s="74">
        <f>('1765-2010 Annual Accounts'!AW37/240)*8.39252336448598</f>
        <v>14785.108411214951</v>
      </c>
      <c r="F32" s="74">
        <f>('1765-2010 Annual Accounts'!BA37/240)*3.00334448160535</f>
        <v>5664.6080267558509</v>
      </c>
      <c r="G32" s="74">
        <f>('1765-2010 Annual Accounts'!BE37/240)*4.42364532019705</f>
        <v>30712.54002463058</v>
      </c>
      <c r="H32" s="74">
        <f>('1765-2010 Annual Accounts'!BI37/240)*3.87068965517241</f>
        <v>29539.377765804569</v>
      </c>
      <c r="I32" s="74">
        <f>('1765-2010 Annual Accounts'!BM37/240)*2.26196473551637</f>
        <v>39606.531276238406</v>
      </c>
      <c r="J32" s="74">
        <f>('1765-2010 Annual Accounts'!BN37)*1.50671140939597</f>
        <v>119058.82885906014</v>
      </c>
      <c r="K32" s="74">
        <f>'1765-2010 Annual Accounts'!BR37</f>
        <v>203362</v>
      </c>
      <c r="L32" s="45">
        <f>('1765-2010 Annual Accounts'!BW37)*0.275700934579439</f>
        <v>209014.94392523347</v>
      </c>
      <c r="M32" s="45">
        <f>('1765-2010 Annual Accounts'!BY37)*0.145090461970841</f>
        <v>186304.85859827808</v>
      </c>
      <c r="N32" s="45">
        <f>('1880-2010 summary table'!N30)*0.110738704920231</f>
        <v>196339.72382356957</v>
      </c>
      <c r="O32" s="45">
        <f>('1765-2010 Annual Accounts'!CG37)*0.0857024278896037</f>
        <v>377604.89728159388</v>
      </c>
    </row>
    <row r="33" spans="1:15" x14ac:dyDescent="0.25">
      <c r="A33" s="11" t="s">
        <v>20</v>
      </c>
      <c r="B33" s="74"/>
      <c r="C33" s="74"/>
      <c r="D33" s="74"/>
      <c r="E33" s="74"/>
      <c r="F33" s="74"/>
      <c r="G33" s="74"/>
      <c r="H33" s="74"/>
      <c r="I33" s="74"/>
      <c r="J33" s="74"/>
      <c r="K33" s="74"/>
      <c r="L33" s="45"/>
      <c r="M33" s="45"/>
      <c r="N33" s="45"/>
      <c r="O33" s="45"/>
    </row>
    <row r="34" spans="1:15" x14ac:dyDescent="0.25">
      <c r="A34" s="11" t="s">
        <v>76</v>
      </c>
      <c r="B34" s="74">
        <f>(('1765-2010 Annual Accounts'!AK47)/240)*8.98</f>
        <v>19053.127916666665</v>
      </c>
      <c r="C34" s="74">
        <f>(('1765-2010 Annual Accounts'!AO47)/240)*8.98</f>
        <v>19727.338833333335</v>
      </c>
      <c r="D34" s="74">
        <f>(('1765-2010 Annual Accounts'!AS47)/240)*8.39252336448598</f>
        <v>16923.942990654203</v>
      </c>
      <c r="E34" s="74">
        <f>(('1765-2010 Annual Accounts'!AW47)/240)*8.39252336448598</f>
        <v>21511.715887850463</v>
      </c>
      <c r="F34" s="74">
        <f>(('1765-2010 Annual Accounts'!BA47)/240)*3.00334448160535</f>
        <v>18422.627675585278</v>
      </c>
      <c r="G34" s="74">
        <f>(('1765-2010 Annual Accounts'!BE47)/240)*4.42364532019705</f>
        <v>41073.473070607608</v>
      </c>
      <c r="H34" s="74">
        <f>(('1765-2010 Annual Accounts'!BI47)/240)*3.87068965517241</f>
        <v>36468.847665229849</v>
      </c>
      <c r="I34" s="74">
        <f>(('1765-2010 Annual Accounts'!BM47)/240)*2.26196473551637</f>
        <v>43668.869143576769</v>
      </c>
      <c r="J34" s="74">
        <f>('1765-2010 Annual Accounts'!BN47)*1.50671140939597</f>
        <v>117573.21140939572</v>
      </c>
      <c r="K34" s="74">
        <f>'1765-2010 Annual Accounts'!BR47</f>
        <v>124783</v>
      </c>
      <c r="L34" s="45">
        <f>('1765-2010 Annual Accounts'!BW47)*0.275700934579439</f>
        <v>156484.26635514005</v>
      </c>
      <c r="M34" s="45">
        <f>('1765-2010 Annual Accounts'!BY47)*0.145090461970841</f>
        <v>176266.77498682545</v>
      </c>
      <c r="N34" s="45">
        <f>('1880-2010 summary table'!N32)*0.110738704920231</f>
        <v>169651.69593779388</v>
      </c>
      <c r="O34" s="45">
        <f>('1765-2010 Annual Accounts'!CG47)*0.0857024278896037</f>
        <v>255736.04482257742</v>
      </c>
    </row>
    <row r="35" spans="1:15" x14ac:dyDescent="0.25">
      <c r="A35" s="12" t="s">
        <v>38</v>
      </c>
      <c r="B35" s="74">
        <f>(('1765-2010 Annual Accounts'!AK48)/240)*8.98</f>
        <v>-11962.744416666668</v>
      </c>
      <c r="C35" s="74">
        <f>(('1765-2010 Annual Accounts'!AO48)/240)*8.98</f>
        <v>-13807.947333333335</v>
      </c>
      <c r="D35" s="74">
        <f>(('1765-2010 Annual Accounts'!AS48)/240)*8.39252336448598</f>
        <v>-10979.518691588783</v>
      </c>
      <c r="E35" s="74">
        <f>(('1765-2010 Annual Accounts'!AW48)/240)*8.39252336448598</f>
        <v>-13224.938317757007</v>
      </c>
      <c r="F35" s="74">
        <f>(('1765-2010 Annual Accounts'!BA48)/240)*3.00334448160535</f>
        <v>-14364.808946488289</v>
      </c>
      <c r="G35" s="74">
        <f>(('1765-2010 Annual Accounts'!BE48)/240)*4.42364532019705</f>
        <v>-18942.804967159303</v>
      </c>
      <c r="H35" s="74">
        <f>(('1765-2010 Annual Accounts'!BI48)/240)*3.87068965517241</f>
        <v>-13490.288864942517</v>
      </c>
      <c r="I35" s="74">
        <f>(('1765-2010 Annual Accounts'!BM48)/240)*2.26196473551637</f>
        <v>-6540.8574517212337</v>
      </c>
      <c r="J35" s="74">
        <f>('1765-2010 Annual Accounts'!BN48)*1.50671140939597</f>
        <v>1485.6174496644264</v>
      </c>
      <c r="K35" s="74">
        <f>'1765-2010 Annual Accounts'!BR48</f>
        <v>78579</v>
      </c>
      <c r="L35" s="45">
        <f>('1765-2010 Annual Accounts'!BW48)*0.275700934579439</f>
        <v>52530.677570093409</v>
      </c>
      <c r="M35" s="45">
        <f>('1765-2010 Annual Accounts'!BY48)*0.145090461970841</f>
        <v>10038.083611452634</v>
      </c>
      <c r="N35" s="45">
        <f>('1880-2010 summary table'!N33)*0.110738704920231</f>
        <v>26688.027885775671</v>
      </c>
      <c r="O35" s="45">
        <f>('1765-2010 Annual Accounts'!CG48)*0.0857024278896037</f>
        <v>121868.85245901646</v>
      </c>
    </row>
    <row r="36" spans="1:15" x14ac:dyDescent="0.25">
      <c r="A36" s="12" t="s">
        <v>39</v>
      </c>
      <c r="B36" s="74">
        <f>(('1765-2010 Annual Accounts'!AK49)/240)*8.98</f>
        <v>-11962.744416666668</v>
      </c>
      <c r="C36" s="74">
        <f>(('1765-2010 Annual Accounts'!AO49)/240)*8.98</f>
        <v>-13807.947333333335</v>
      </c>
      <c r="D36" s="74">
        <f>(('1765-2010 Annual Accounts'!AS49)/240)*8.39252336448598</f>
        <v>-6881.1697819314622</v>
      </c>
      <c r="E36" s="74">
        <f>(('1765-2010 Annual Accounts'!AW49)/240)*8.39252336448598</f>
        <v>-6726.6074766355132</v>
      </c>
      <c r="F36" s="74">
        <f>(('1765-2010 Annual Accounts'!BA49)/240)*3.00334448160535</f>
        <v>-12758.019648829426</v>
      </c>
      <c r="G36" s="74">
        <f>(('1765-2010 Annual Accounts'!BE49)/240)*4.42364532019705</f>
        <v>-10360.933045977023</v>
      </c>
      <c r="H36" s="74">
        <f>(('1765-2010 Annual Accounts'!BI49)/240)*3.87068965517241</f>
        <v>-6929.4698994252803</v>
      </c>
      <c r="I36" s="74">
        <f>(('1765-2010 Annual Accounts'!BM49)/240)*2.26196473551637</f>
        <v>-4062.3378673383659</v>
      </c>
      <c r="J36" s="74">
        <f>('1765-2010 Annual Accounts'!BN49)*1.50671140939597</f>
        <v>1485.6174496644264</v>
      </c>
      <c r="K36" s="74">
        <f>'1765-2010 Annual Accounts'!BR49</f>
        <v>78579</v>
      </c>
      <c r="L36" s="45">
        <f>('1765-2010 Annual Accounts'!BW49)*0.275700934579439</f>
        <v>52530.677570093409</v>
      </c>
      <c r="M36" s="45">
        <f>('1765-2010 Annual Accounts'!BY49)*0.145090461970841</f>
        <v>10038.083611452634</v>
      </c>
      <c r="N36" s="45">
        <f>('1880-2010 summary table'!N34)*0.110738704920231</f>
        <v>26688.027885775671</v>
      </c>
      <c r="O36" s="45">
        <f>('1765-2010 Annual Accounts'!CG49)*0.0857024278896037</f>
        <v>121868.85245901646</v>
      </c>
    </row>
    <row r="37" spans="1:15" x14ac:dyDescent="0.25">
      <c r="A37" s="21" t="s">
        <v>48</v>
      </c>
      <c r="B37" s="74">
        <f>(('1765-2010 Annual Accounts'!AK51)/240)*8.98</f>
        <v>-11962.744416666668</v>
      </c>
      <c r="C37" s="74">
        <f>(('1765-2010 Annual Accounts'!AO51)/240)*8.98</f>
        <v>-13807.947333333335</v>
      </c>
      <c r="D37" s="74">
        <f>(('1765-2010 Annual Accounts'!AS51)/240)*8.39252336448598</f>
        <v>-6881.1697819314622</v>
      </c>
      <c r="E37" s="74">
        <f>(('1765-2010 Annual Accounts'!AW51)/240)*8.39252336448598</f>
        <v>-6726.6074766355132</v>
      </c>
      <c r="F37" s="74">
        <f>(('1765-2010 Annual Accounts'!BA51)/240)*3.00334448160535</f>
        <v>-12758.019648829426</v>
      </c>
      <c r="G37" s="74">
        <f>(('1765-2010 Annual Accounts'!BE51)/240)*4.42364532019705</f>
        <v>0</v>
      </c>
      <c r="H37" s="74">
        <f>(('1765-2010 Annual Accounts'!BI51)/240)*3.87068965517241</f>
        <v>0</v>
      </c>
      <c r="I37" s="74">
        <f>(('1765-2010 Annual Accounts'!BM51)/240)*2.26196473551637</f>
        <v>-3529.8336691855538</v>
      </c>
      <c r="J37" s="74">
        <f>('1765-2010 Annual Accounts'!BN51)*1.50671140939597</f>
        <v>1485.6174496644264</v>
      </c>
      <c r="K37" s="74">
        <f>'1765-2010 Annual Accounts'!BR51</f>
        <v>78579</v>
      </c>
      <c r="L37" s="45">
        <f>('1765-2010 Annual Accounts'!BW51)*0.275700934579439</f>
        <v>52530.677570093409</v>
      </c>
      <c r="M37" s="45">
        <f>('1765-2010 Annual Accounts'!BY51)*0.145090461970841</f>
        <v>10038.083611452634</v>
      </c>
      <c r="N37" s="45">
        <f>('1880-2010 summary table'!N35)*0.110738704920231</f>
        <v>26688.027885775671</v>
      </c>
      <c r="O37" s="45">
        <f>('1765-2010 Annual Accounts'!CG51)*0.0857024278896037</f>
        <v>121868.85245901646</v>
      </c>
    </row>
    <row r="38" spans="1:15" ht="18.75" x14ac:dyDescent="0.3">
      <c r="A38" s="18" t="s">
        <v>44</v>
      </c>
      <c r="B38" s="74"/>
      <c r="C38" s="74"/>
      <c r="D38" s="74"/>
      <c r="E38" s="74"/>
      <c r="F38" s="74"/>
      <c r="G38" s="74"/>
      <c r="H38" s="74"/>
      <c r="I38" s="74"/>
      <c r="J38" s="74"/>
      <c r="K38" s="74"/>
      <c r="L38" s="45"/>
      <c r="M38" s="45"/>
      <c r="N38" s="45"/>
      <c r="O38" s="45"/>
    </row>
    <row r="39" spans="1:15" x14ac:dyDescent="0.25">
      <c r="A39" s="17" t="s">
        <v>46</v>
      </c>
      <c r="B39" s="74">
        <f>(('1765-2010 Annual Accounts'!AK54)/240)*8.98</f>
        <v>901.14300000000003</v>
      </c>
      <c r="C39" s="74">
        <f>(('1765-2010 Annual Accounts'!AO54)/240)*8.98</f>
        <v>15009.733250000001</v>
      </c>
      <c r="D39" s="74">
        <f>(('1765-2010 Annual Accounts'!AS54)/240)*8.39252336448598</f>
        <v>-2369.9087227414325</v>
      </c>
      <c r="E39" s="74">
        <f>(('1765-2010 Annual Accounts'!AW54)/240)*8.39252336448598</f>
        <v>-6509.3809968847345</v>
      </c>
      <c r="F39" s="74">
        <f>(('1765-2010 Annual Accounts'!BA54)/240)*3.00334448160535</f>
        <v>-16467.875891861757</v>
      </c>
      <c r="G39" s="74">
        <f>(('1765-2010 Annual Accounts'!BE54)/240)*4.42364532019705</f>
        <v>-15764.950328407243</v>
      </c>
      <c r="H39" s="74">
        <f>(('1765-2010 Annual Accounts'!BI54)/240)*3.87068965517241</f>
        <v>-24959.577765804574</v>
      </c>
      <c r="I39" s="74">
        <f>(('1765-2010 Annual Accounts'!BM54)/240)*2.26196473551637</f>
        <v>-18436.558270361016</v>
      </c>
      <c r="J39" s="74">
        <f>('1765-2010 Annual Accounts'!BN54)*1.50671140939597</f>
        <v>-51491.862416107273</v>
      </c>
      <c r="K39" s="74">
        <f>'1765-2010 Annual Accounts'!BR54</f>
        <v>-90229</v>
      </c>
      <c r="L39" s="45">
        <f>('1765-2010 Annual Accounts'!BW54)*0.275700934579439</f>
        <v>26024.514018691567</v>
      </c>
      <c r="M39" s="45">
        <f>('1765-2010 Annual Accounts'!BY54)*0.145090461970841</f>
        <v>-30740.751449147992</v>
      </c>
      <c r="N39" s="45">
        <f>('1880-2010 summary table'!N38)*0.110738704920231</f>
        <v>-111403.13714975238</v>
      </c>
      <c r="O39" s="45">
        <f>('1765-2010 Annual Accounts'!CG54)*0.0857024278896037</f>
        <v>-53306.910147333496</v>
      </c>
    </row>
    <row r="40" spans="1:15" x14ac:dyDescent="0.25">
      <c r="A40" s="12" t="s">
        <v>47</v>
      </c>
      <c r="B40" s="74">
        <f>(('1765-2010 Annual Accounts'!AK55)/240)*8.98</f>
        <v>901.14300000000003</v>
      </c>
      <c r="C40" s="74">
        <f>(('1765-2010 Annual Accounts'!AO55)/240)*8.98</f>
        <v>15009.733250000001</v>
      </c>
      <c r="D40" s="74">
        <f>(('1765-2010 Annual Accounts'!AS55)/240)*8.39252336448598</f>
        <v>1728.4401869158874</v>
      </c>
      <c r="E40" s="74">
        <f>(('1765-2010 Annual Accounts'!AW55)/240)*8.39252336448598</f>
        <v>-11.050155763239873</v>
      </c>
      <c r="F40" s="74">
        <f>(('1765-2010 Annual Accounts'!BA55)/240)*3.00334448160535</f>
        <v>-14861.086594202894</v>
      </c>
      <c r="G40" s="74">
        <f>(('1765-2010 Annual Accounts'!BE55)/240)*4.42364532019705</f>
        <v>-7183.078407224968</v>
      </c>
      <c r="H40" s="74">
        <f>(('1765-2010 Annual Accounts'!BI55)/240)*3.87068965517241</f>
        <v>-18398.758800287342</v>
      </c>
      <c r="I40" s="74">
        <f>(('1765-2010 Annual Accounts'!BM55)/240)*2.26196473551637</f>
        <v>-15958.038685978148</v>
      </c>
      <c r="J40" s="74">
        <f>('1765-2010 Annual Accounts'!BN55)*1.50671140939597</f>
        <v>-51491.862416107273</v>
      </c>
      <c r="K40" s="74">
        <f>'1765-2010 Annual Accounts'!BR55</f>
        <v>-90229</v>
      </c>
      <c r="L40" s="45">
        <f>('1765-2010 Annual Accounts'!BW55)*0.275700934579439</f>
        <v>26024.514018691567</v>
      </c>
      <c r="M40" s="45">
        <f>('1765-2010 Annual Accounts'!BY55)*0.145090461970841</f>
        <v>-30740.751449147992</v>
      </c>
      <c r="N40" s="45">
        <f>('1880-2010 summary table'!N39)*0.110738704920231</f>
        <v>-111403.13714975238</v>
      </c>
      <c r="O40" s="45">
        <f>('1765-2010 Annual Accounts'!CG55)*0.0857024278896037</f>
        <v>-53306.910147333496</v>
      </c>
    </row>
    <row r="41" spans="1:15" x14ac:dyDescent="0.25">
      <c r="A41" s="20" t="s">
        <v>45</v>
      </c>
      <c r="B41" s="74">
        <f>(('1765-2010 Annual Accounts'!AK56)/240)*8.98</f>
        <v>901.14300000000003</v>
      </c>
      <c r="C41" s="74">
        <f>(('1765-2010 Annual Accounts'!AO56)/240)*8.98</f>
        <v>15009.733250000001</v>
      </c>
      <c r="D41" s="74">
        <f>(('1765-2010 Annual Accounts'!AS56)/240)*8.39252336448598</f>
        <v>1728.4401869158874</v>
      </c>
      <c r="E41" s="74">
        <f>(('1765-2010 Annual Accounts'!AW56)/240)*8.39252336448598</f>
        <v>-11.050155763239873</v>
      </c>
      <c r="F41" s="74">
        <f>(('1765-2010 Annual Accounts'!BA56)/240)*3.00334448160535</f>
        <v>-14861.086594202894</v>
      </c>
      <c r="G41" s="74">
        <f>(('1765-2010 Annual Accounts'!BE56)/240)*4.42364532019705</f>
        <v>3177.8546387520569</v>
      </c>
      <c r="H41" s="74">
        <f>(('1765-2010 Annual Accounts'!BI56)/240)*3.87068965517241</f>
        <v>-4411.6507902298817</v>
      </c>
      <c r="I41" s="74">
        <f>(('1765-2010 Annual Accounts'!BM56)/240)*2.26196473551637</f>
        <v>-10959.671536523914</v>
      </c>
      <c r="J41" s="74">
        <f>('1765-2010 Annual Accounts'!BN56)*1.50671140939597</f>
        <v>6670.211409395959</v>
      </c>
      <c r="K41" s="74">
        <f>'1765-2010 Annual Accounts'!BR56</f>
        <v>-73490</v>
      </c>
      <c r="L41" s="45">
        <f>('1765-2010 Annual Accounts'!BW56)*0.275700934579439</f>
        <v>57115.584112149481</v>
      </c>
      <c r="M41" s="45">
        <f>('1765-2010 Annual Accounts'!BY56)*0.145090461970841</f>
        <v>-13476.147198313682</v>
      </c>
      <c r="N41" s="45">
        <f>('1880-2010 summary table'!N40)*0.110738704920231</f>
        <v>-10852.393082182638</v>
      </c>
      <c r="O41" s="45">
        <f>('1765-2010 Annual Accounts'!CG56)*0.0857024278896037</f>
        <v>119811.99418966596</v>
      </c>
    </row>
    <row r="42" spans="1:15" x14ac:dyDescent="0.25">
      <c r="A42" s="7" t="s">
        <v>57</v>
      </c>
      <c r="L42" s="23"/>
      <c r="M42" s="23">
        <f>'1765-2010 Annual Accounts'!BY57</f>
        <v>0</v>
      </c>
      <c r="N42" s="23"/>
      <c r="O42" s="23">
        <f>'1765-2010 Annual Accounts'!CG57</f>
        <v>0</v>
      </c>
    </row>
    <row r="43" spans="1:15" x14ac:dyDescent="0.25">
      <c r="N43" s="23"/>
      <c r="O43" s="23"/>
    </row>
    <row r="44" spans="1:15" x14ac:dyDescent="0.25">
      <c r="A44" t="s">
        <v>131</v>
      </c>
      <c r="B44" s="44">
        <f>B30/(B30+B15)%</f>
        <v>18.804087128838628</v>
      </c>
      <c r="C44" s="44">
        <f t="shared" ref="C44:O44" si="1">C30/(C30+C15)%</f>
        <v>8.7879015123109614</v>
      </c>
      <c r="D44" s="44">
        <f t="shared" si="1"/>
        <v>11.390427971919264</v>
      </c>
      <c r="E44" s="44">
        <f t="shared" si="1"/>
        <v>15.264439722223472</v>
      </c>
      <c r="F44" s="44">
        <f t="shared" si="1"/>
        <v>16.63218980958824</v>
      </c>
      <c r="G44" s="44">
        <f t="shared" si="1"/>
        <v>38.824580509894055</v>
      </c>
      <c r="H44" s="44">
        <f t="shared" si="1"/>
        <v>46.851011748488695</v>
      </c>
      <c r="I44" s="44">
        <f t="shared" si="1"/>
        <v>66.296028589243349</v>
      </c>
      <c r="J44" s="44">
        <f t="shared" si="1"/>
        <v>61.410230504997124</v>
      </c>
      <c r="K44" s="44">
        <f t="shared" si="1"/>
        <v>55.803679230786123</v>
      </c>
      <c r="L44" s="44">
        <f t="shared" si="1"/>
        <v>45.321407391820031</v>
      </c>
      <c r="M44" s="44">
        <f t="shared" si="1"/>
        <v>35.078162733215173</v>
      </c>
      <c r="N44" s="44">
        <f t="shared" ref="N44" si="2">N30/(N30+N15)%</f>
        <v>33.059854559015477</v>
      </c>
      <c r="O44" s="44">
        <f t="shared" si="1"/>
        <v>29.592316475250183</v>
      </c>
    </row>
    <row r="45" spans="1:15" x14ac:dyDescent="0.25">
      <c r="A45" t="s">
        <v>132</v>
      </c>
      <c r="B45" s="44">
        <f>B34/(B34+B24)%</f>
        <v>51.685934978329485</v>
      </c>
      <c r="C45" s="44">
        <f t="shared" ref="C45:O45" si="3">C34/(C34+C24)%</f>
        <v>43.305885590140171</v>
      </c>
      <c r="D45" s="44">
        <f t="shared" si="3"/>
        <v>37.002671380447694</v>
      </c>
      <c r="E45" s="44">
        <f t="shared" si="3"/>
        <v>35.628473913469044</v>
      </c>
      <c r="F45" s="44">
        <f t="shared" si="3"/>
        <v>45.081394423042767</v>
      </c>
      <c r="G45" s="44">
        <f t="shared" si="3"/>
        <v>55.864561037231567</v>
      </c>
      <c r="H45" s="44">
        <f t="shared" si="3"/>
        <v>46.320498137229457</v>
      </c>
      <c r="I45" s="44">
        <f t="shared" si="3"/>
        <v>48.425083778143446</v>
      </c>
      <c r="J45" s="44">
        <f t="shared" si="3"/>
        <v>47.917395869793495</v>
      </c>
      <c r="K45" s="44">
        <f t="shared" si="3"/>
        <v>27.445766331685924</v>
      </c>
      <c r="L45" s="44">
        <f t="shared" si="3"/>
        <v>35.960235026679356</v>
      </c>
      <c r="M45" s="44">
        <f t="shared" si="3"/>
        <v>31.372330785672396</v>
      </c>
      <c r="N45" s="44">
        <f t="shared" ref="N45" si="4">N34/(N34+N24)%</f>
        <v>24.054011618778453</v>
      </c>
      <c r="O45" s="44">
        <f t="shared" si="3"/>
        <v>19.237960157307718</v>
      </c>
    </row>
    <row r="46" spans="1:15" x14ac:dyDescent="0.25">
      <c r="A46" t="s">
        <v>133</v>
      </c>
      <c r="B46" s="44">
        <f>B36/(B15+B32)%</f>
        <v>-31.725856339227327</v>
      </c>
      <c r="C46" s="44">
        <f t="shared" ref="C46:O46" si="5">C36/(C15+C32)%</f>
        <v>-20.499215375855798</v>
      </c>
      <c r="D46" s="44">
        <f t="shared" si="5"/>
        <v>-12.225314066566392</v>
      </c>
      <c r="E46" s="44">
        <f t="shared" si="5"/>
        <v>-11.065964909454795</v>
      </c>
      <c r="F46" s="44">
        <f t="shared" si="5"/>
        <v>-49.061436937233907</v>
      </c>
      <c r="G46" s="44">
        <f t="shared" si="5"/>
        <v>-15.798063270832934</v>
      </c>
      <c r="H46" s="44">
        <f t="shared" si="5"/>
        <v>-12.461541495739981</v>
      </c>
      <c r="I46" s="44">
        <f t="shared" si="5"/>
        <v>-6.9463174641647996</v>
      </c>
      <c r="J46" s="44">
        <f t="shared" si="5"/>
        <v>0.76627756967219485</v>
      </c>
      <c r="K46" s="44">
        <f t="shared" si="5"/>
        <v>21.562520580422806</v>
      </c>
      <c r="L46" s="44">
        <f t="shared" si="5"/>
        <v>11.390402016298735</v>
      </c>
      <c r="M46" s="44">
        <f t="shared" si="5"/>
        <v>1.8900072338500471</v>
      </c>
      <c r="N46" s="44">
        <f t="shared" ref="N46" si="6">N36/(N15+N32)%</f>
        <v>4.4937534961775132</v>
      </c>
      <c r="O46" s="44">
        <f t="shared" si="5"/>
        <v>9.5506749949627245</v>
      </c>
    </row>
    <row r="48" spans="1:15" x14ac:dyDescent="0.25">
      <c r="A48" t="s">
        <v>93</v>
      </c>
      <c r="B48" s="44">
        <f t="shared" ref="B48:M48" si="7">B6/(B15+B30)%</f>
        <v>35.127794718724601</v>
      </c>
      <c r="C48" s="44">
        <f t="shared" si="7"/>
        <v>20.344123651210268</v>
      </c>
      <c r="D48" s="44">
        <f t="shared" si="7"/>
        <v>24.926109496646703</v>
      </c>
      <c r="E48" s="44">
        <f t="shared" si="7"/>
        <v>26.701883642270928</v>
      </c>
      <c r="F48" s="44">
        <f t="shared" si="7"/>
        <v>20.724788509743195</v>
      </c>
      <c r="G48" s="44">
        <f t="shared" si="7"/>
        <v>16.452367679375431</v>
      </c>
      <c r="H48" s="44">
        <f t="shared" si="7"/>
        <v>17.441218096776403</v>
      </c>
      <c r="I48" s="44">
        <f t="shared" si="7"/>
        <v>10.21861818096143</v>
      </c>
      <c r="J48" s="44">
        <f t="shared" si="7"/>
        <v>2.5296485692525348</v>
      </c>
      <c r="K48" s="44">
        <f t="shared" si="7"/>
        <v>1.7397317410488882</v>
      </c>
      <c r="L48" s="44">
        <f t="shared" si="7"/>
        <v>0.97682404254505129</v>
      </c>
      <c r="M48" s="44">
        <f t="shared" si="7"/>
        <v>1.5803285173229946</v>
      </c>
      <c r="N48" s="44">
        <f t="shared" ref="N48" si="8">N6/(N15+N30)%</f>
        <v>2.7223568898004848</v>
      </c>
      <c r="O48" s="44">
        <f>O6/(O15+O30)%</f>
        <v>1.3634226610249176</v>
      </c>
    </row>
    <row r="49" spans="1:15" x14ac:dyDescent="0.25">
      <c r="A49" t="s">
        <v>94</v>
      </c>
      <c r="B49" s="44">
        <f t="shared" ref="B49:M49" si="9">B7/(B15+B30)%</f>
        <v>46.06811815243676</v>
      </c>
      <c r="C49" s="44">
        <f t="shared" si="9"/>
        <v>44.12976155758308</v>
      </c>
      <c r="D49" s="44">
        <f t="shared" si="9"/>
        <v>53.708261330156375</v>
      </c>
      <c r="E49" s="44">
        <f t="shared" si="9"/>
        <v>54.864535311770702</v>
      </c>
      <c r="F49" s="44">
        <f t="shared" si="9"/>
        <v>62.643021680668561</v>
      </c>
      <c r="G49" s="44">
        <f t="shared" si="9"/>
        <v>44.645219953410823</v>
      </c>
      <c r="H49" s="44">
        <f t="shared" si="9"/>
        <v>35.707770154734909</v>
      </c>
      <c r="I49" s="44">
        <f t="shared" si="9"/>
        <v>23.485353229795219</v>
      </c>
      <c r="J49" s="44">
        <f t="shared" si="9"/>
        <v>12.321059421483749</v>
      </c>
      <c r="K49" s="44">
        <f t="shared" si="9"/>
        <v>10.627181524817246</v>
      </c>
      <c r="L49" s="44">
        <f t="shared" si="9"/>
        <v>19.238591364731988</v>
      </c>
      <c r="M49" s="44">
        <f t="shared" si="9"/>
        <v>16.131676832666408</v>
      </c>
      <c r="N49" s="44">
        <f t="shared" ref="N49" si="10">N7/(N15+N30)%</f>
        <v>12.548946485176208</v>
      </c>
      <c r="O49" s="44">
        <f>O7/(O15+O30)%</f>
        <v>7.3074081536704938</v>
      </c>
    </row>
  </sheetData>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1765-2010 Annual Accounts</vt:lpstr>
      <vt:lpstr>1765-1920 summary table</vt:lpstr>
      <vt:lpstr>1880-2010 summary table</vt:lpstr>
      <vt:lpstr>1880-2010 RPI adjusted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dc:creator>
  <cp:lastModifiedBy>Aileen Fyfe</cp:lastModifiedBy>
  <dcterms:created xsi:type="dcterms:W3CDTF">2015-02-03T16:21:35Z</dcterms:created>
  <dcterms:modified xsi:type="dcterms:W3CDTF">2022-09-29T09:59:16Z</dcterms:modified>
</cp:coreProperties>
</file>