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RVC\funding\ERC grants\DAWNDINOS\PAPERS\FINISHED\Cuff 2022- PCSA-AA\Muscle Attachment A paper\FOR PAPER\SUPP INFO DATA\"/>
    </mc:Choice>
  </mc:AlternateContent>
  <bookViews>
    <workbookView xWindow="-108" yWindow="-108" windowWidth="19422" windowHeight="10422" activeTab="4"/>
  </bookViews>
  <sheets>
    <sheet name="AA" sheetId="4" r:id="rId1"/>
    <sheet name="PCSA" sheetId="5" r:id="rId2"/>
    <sheet name="DATA" sheetId="1" r:id="rId3"/>
    <sheet name="ONE SIZE FITS ALL" sheetId="9" r:id="rId4"/>
    <sheet name="Ostrich" sheetId="10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9" l="1"/>
  <c r="J2" i="9"/>
  <c r="I2" i="9"/>
  <c r="H2" i="9"/>
  <c r="F2" i="9"/>
  <c r="Q5" i="1" l="1"/>
  <c r="P5" i="1"/>
  <c r="K6" i="1"/>
  <c r="L6" i="1" s="1"/>
  <c r="K5" i="1"/>
  <c r="L5" i="1" s="1"/>
  <c r="I5" i="1"/>
  <c r="N8" i="9"/>
  <c r="E5" i="1"/>
  <c r="E2" i="9"/>
  <c r="R2" i="10"/>
  <c r="S8" i="10"/>
  <c r="R8" i="10"/>
  <c r="R7" i="10"/>
  <c r="R6" i="10"/>
  <c r="R5" i="10"/>
  <c r="R4" i="10"/>
  <c r="R3" i="10"/>
  <c r="J13" i="10"/>
  <c r="P2" i="10"/>
  <c r="F3" i="10"/>
  <c r="G3" i="10" s="1"/>
  <c r="I3" i="10" s="1"/>
  <c r="H3" i="10"/>
  <c r="F4" i="10"/>
  <c r="G4" i="10" s="1"/>
  <c r="I4" i="10" s="1"/>
  <c r="H4" i="10"/>
  <c r="F5" i="10"/>
  <c r="G5" i="10" s="1"/>
  <c r="I5" i="10" s="1"/>
  <c r="J5" i="10" s="1"/>
  <c r="H5" i="10"/>
  <c r="F6" i="10"/>
  <c r="G6" i="10" s="1"/>
  <c r="I6" i="10" s="1"/>
  <c r="H6" i="10"/>
  <c r="F7" i="10"/>
  <c r="G7" i="10" s="1"/>
  <c r="I7" i="10" s="1"/>
  <c r="J7" i="10" s="1"/>
  <c r="H7" i="10"/>
  <c r="F8" i="10"/>
  <c r="G8" i="10" s="1"/>
  <c r="I8" i="10" s="1"/>
  <c r="H8" i="10"/>
  <c r="F9" i="10"/>
  <c r="G9" i="10" s="1"/>
  <c r="I9" i="10" s="1"/>
  <c r="H9" i="10"/>
  <c r="F10" i="10"/>
  <c r="G10" i="10" s="1"/>
  <c r="I10" i="10" s="1"/>
  <c r="H10" i="10"/>
  <c r="F11" i="10"/>
  <c r="G11" i="10" s="1"/>
  <c r="I11" i="10" s="1"/>
  <c r="H11" i="10"/>
  <c r="F12" i="10"/>
  <c r="G12" i="10" s="1"/>
  <c r="I12" i="10" s="1"/>
  <c r="H12" i="10"/>
  <c r="F13" i="10"/>
  <c r="G13" i="10" s="1"/>
  <c r="I13" i="10" s="1"/>
  <c r="H13" i="10"/>
  <c r="F14" i="10"/>
  <c r="G14" i="10" s="1"/>
  <c r="I14" i="10" s="1"/>
  <c r="H14" i="10"/>
  <c r="F15" i="10"/>
  <c r="G15" i="10" s="1"/>
  <c r="I15" i="10" s="1"/>
  <c r="H15" i="10"/>
  <c r="F16" i="10"/>
  <c r="G16" i="10" s="1"/>
  <c r="I16" i="10" s="1"/>
  <c r="H16" i="10"/>
  <c r="F17" i="10"/>
  <c r="G17" i="10" s="1"/>
  <c r="I17" i="10" s="1"/>
  <c r="H17" i="10"/>
  <c r="F18" i="10"/>
  <c r="G18" i="10" s="1"/>
  <c r="I18" i="10" s="1"/>
  <c r="H18" i="10"/>
  <c r="F19" i="10"/>
  <c r="G19" i="10" s="1"/>
  <c r="I19" i="10" s="1"/>
  <c r="H19" i="10"/>
  <c r="E5" i="10"/>
  <c r="E19" i="10"/>
  <c r="E17" i="10"/>
  <c r="E16" i="10"/>
  <c r="E15" i="10"/>
  <c r="E14" i="10"/>
  <c r="E13" i="10"/>
  <c r="E12" i="10"/>
  <c r="E11" i="10"/>
  <c r="E10" i="10"/>
  <c r="E9" i="10"/>
  <c r="E7" i="10"/>
  <c r="E6" i="10"/>
  <c r="E2" i="10"/>
  <c r="F2" i="10"/>
  <c r="G2" i="10"/>
  <c r="I2" i="10" s="1"/>
  <c r="H2" i="10"/>
  <c r="J2" i="10" l="1"/>
  <c r="E18" i="10"/>
  <c r="E4" i="10"/>
  <c r="E3" i="10"/>
  <c r="E8" i="10"/>
  <c r="D101" i="1"/>
  <c r="K2" i="9"/>
  <c r="J6" i="10" l="1"/>
  <c r="J16" i="10"/>
  <c r="J10" i="10"/>
  <c r="J14" i="10"/>
  <c r="J12" i="10"/>
  <c r="J15" i="10"/>
  <c r="J11" i="10"/>
  <c r="J9" i="10"/>
  <c r="J19" i="10"/>
  <c r="J17" i="10"/>
  <c r="S4" i="10"/>
  <c r="S3" i="10" l="1"/>
  <c r="S2" i="10"/>
  <c r="S7" i="10"/>
  <c r="S6" i="10"/>
  <c r="S5" i="10"/>
  <c r="T3" i="10" l="1"/>
  <c r="D12" i="1" l="1"/>
  <c r="D11" i="1"/>
  <c r="D10" i="1"/>
  <c r="D9" i="1"/>
  <c r="D8" i="1"/>
  <c r="D7" i="1"/>
  <c r="D6" i="1"/>
  <c r="D5" i="1"/>
  <c r="F5" i="1" s="1"/>
  <c r="G5" i="1" s="1"/>
  <c r="H5" i="1" s="1"/>
  <c r="D13" i="1"/>
  <c r="D36" i="1"/>
  <c r="D21" i="1"/>
  <c r="D20" i="1"/>
  <c r="D19" i="1"/>
  <c r="D18" i="1"/>
  <c r="D17" i="1"/>
  <c r="D16" i="1"/>
  <c r="D15" i="1"/>
  <c r="D14" i="1"/>
  <c r="D88" i="1" l="1"/>
  <c r="D89" i="1"/>
  <c r="D90" i="1"/>
  <c r="D91" i="1"/>
  <c r="D92" i="1"/>
  <c r="D93" i="1"/>
  <c r="F93" i="1" s="1"/>
  <c r="D94" i="1"/>
  <c r="F94" i="1" s="1"/>
  <c r="D95" i="1"/>
  <c r="F95" i="1" s="1"/>
  <c r="D96" i="1"/>
  <c r="F96" i="1" s="1"/>
  <c r="D97" i="1"/>
  <c r="F97" i="1" s="1"/>
  <c r="D98" i="1"/>
  <c r="F98" i="1" s="1"/>
  <c r="D99" i="1"/>
  <c r="F99" i="1" s="1"/>
  <c r="D100" i="1"/>
  <c r="F100" i="1" s="1"/>
  <c r="D87" i="1"/>
  <c r="F92" i="1"/>
  <c r="E92" i="1"/>
  <c r="E93" i="1"/>
  <c r="E94" i="1"/>
  <c r="E95" i="1"/>
  <c r="E96" i="1"/>
  <c r="E97" i="1"/>
  <c r="E98" i="1"/>
  <c r="E99" i="1"/>
  <c r="E100" i="1"/>
  <c r="G93" i="1" l="1"/>
  <c r="H93" i="1" s="1"/>
  <c r="G100" i="1"/>
  <c r="H100" i="1" s="1"/>
  <c r="G96" i="1"/>
  <c r="H96" i="1" s="1"/>
  <c r="G99" i="1"/>
  <c r="H99" i="1" s="1"/>
  <c r="G97" i="1"/>
  <c r="H97" i="1" s="1"/>
  <c r="G95" i="1"/>
  <c r="H95" i="1" s="1"/>
  <c r="G98" i="1"/>
  <c r="H98" i="1" s="1"/>
  <c r="G94" i="1"/>
  <c r="H94" i="1" s="1"/>
  <c r="G92" i="1"/>
  <c r="H92" i="1" s="1"/>
  <c r="H13" i="9" l="1"/>
  <c r="G3" i="9"/>
  <c r="I3" i="9" s="1"/>
  <c r="G23" i="9"/>
  <c r="I23" i="9" s="1"/>
  <c r="F3" i="9"/>
  <c r="H3" i="9" s="1"/>
  <c r="F4" i="9"/>
  <c r="H4" i="9" s="1"/>
  <c r="F5" i="9"/>
  <c r="H5" i="9" s="1"/>
  <c r="F6" i="9"/>
  <c r="H6" i="9" s="1"/>
  <c r="F7" i="9"/>
  <c r="H7" i="9" s="1"/>
  <c r="F8" i="9"/>
  <c r="H8" i="9" s="1"/>
  <c r="F9" i="9"/>
  <c r="H9" i="9" s="1"/>
  <c r="F10" i="9"/>
  <c r="H10" i="9" s="1"/>
  <c r="F11" i="9"/>
  <c r="H11" i="9" s="1"/>
  <c r="F12" i="9"/>
  <c r="H12" i="9" s="1"/>
  <c r="F13" i="9"/>
  <c r="F14" i="9"/>
  <c r="H14" i="9" s="1"/>
  <c r="F15" i="9"/>
  <c r="H15" i="9" s="1"/>
  <c r="F16" i="9"/>
  <c r="H16" i="9" s="1"/>
  <c r="F17" i="9"/>
  <c r="H17" i="9" s="1"/>
  <c r="F18" i="9"/>
  <c r="H18" i="9" s="1"/>
  <c r="F19" i="9"/>
  <c r="H19" i="9" s="1"/>
  <c r="F20" i="9"/>
  <c r="H20" i="9" s="1"/>
  <c r="F21" i="9"/>
  <c r="H21" i="9" s="1"/>
  <c r="F22" i="9"/>
  <c r="H22" i="9" s="1"/>
  <c r="F23" i="9"/>
  <c r="H23" i="9" s="1"/>
  <c r="J23" i="9" s="1"/>
  <c r="K23" i="9" s="1"/>
  <c r="F24" i="9"/>
  <c r="H24" i="9" s="1"/>
  <c r="F25" i="9"/>
  <c r="H25" i="9" s="1"/>
  <c r="F26" i="9"/>
  <c r="H26" i="9" s="1"/>
  <c r="F27" i="9"/>
  <c r="H27" i="9" s="1"/>
  <c r="F28" i="9"/>
  <c r="H28" i="9" s="1"/>
  <c r="F29" i="9"/>
  <c r="H29" i="9" s="1"/>
  <c r="F30" i="9"/>
  <c r="H30" i="9" s="1"/>
  <c r="F31" i="9"/>
  <c r="H31" i="9" s="1"/>
  <c r="F32" i="9"/>
  <c r="H32" i="9" s="1"/>
  <c r="J32" i="9" s="1"/>
  <c r="K32" i="9" s="1"/>
  <c r="F33" i="9"/>
  <c r="H33" i="9" s="1"/>
  <c r="F34" i="9"/>
  <c r="H34" i="9" s="1"/>
  <c r="F35" i="9"/>
  <c r="H35" i="9" s="1"/>
  <c r="J35" i="9" s="1"/>
  <c r="K35" i="9" s="1"/>
  <c r="F36" i="9"/>
  <c r="H36" i="9" s="1"/>
  <c r="F37" i="9"/>
  <c r="H37" i="9" s="1"/>
  <c r="J37" i="9" s="1"/>
  <c r="K37" i="9" s="1"/>
  <c r="F38" i="9"/>
  <c r="H38" i="9" s="1"/>
  <c r="F39" i="9"/>
  <c r="H39" i="9" s="1"/>
  <c r="F40" i="9"/>
  <c r="H40" i="9" s="1"/>
  <c r="J40" i="9" s="1"/>
  <c r="K40" i="9" s="1"/>
  <c r="F41" i="9"/>
  <c r="H41" i="9" s="1"/>
  <c r="F42" i="9"/>
  <c r="H42" i="9" s="1"/>
  <c r="F43" i="9"/>
  <c r="H43" i="9" s="1"/>
  <c r="F44" i="9"/>
  <c r="H44" i="9" s="1"/>
  <c r="F45" i="9"/>
  <c r="H45" i="9" s="1"/>
  <c r="F46" i="9"/>
  <c r="H46" i="9" s="1"/>
  <c r="F47" i="9"/>
  <c r="H47" i="9" s="1"/>
  <c r="F48" i="9"/>
  <c r="H48" i="9" s="1"/>
  <c r="J48" i="9" s="1"/>
  <c r="K48" i="9" s="1"/>
  <c r="F49" i="9"/>
  <c r="H49" i="9" s="1"/>
  <c r="F50" i="9"/>
  <c r="H50" i="9" s="1"/>
  <c r="F51" i="9"/>
  <c r="H51" i="9" s="1"/>
  <c r="F52" i="9"/>
  <c r="H52" i="9" s="1"/>
  <c r="F53" i="9"/>
  <c r="H53" i="9" s="1"/>
  <c r="F54" i="9"/>
  <c r="H54" i="9" s="1"/>
  <c r="E54" i="9"/>
  <c r="G54" i="9" s="1"/>
  <c r="I54" i="9" s="1"/>
  <c r="E53" i="9"/>
  <c r="G53" i="9" s="1"/>
  <c r="I53" i="9" s="1"/>
  <c r="E52" i="9"/>
  <c r="G52" i="9" s="1"/>
  <c r="I52" i="9" s="1"/>
  <c r="E51" i="9"/>
  <c r="G51" i="9" s="1"/>
  <c r="I51" i="9" s="1"/>
  <c r="E50" i="9"/>
  <c r="G50" i="9" s="1"/>
  <c r="I50" i="9" s="1"/>
  <c r="E49" i="9"/>
  <c r="G49" i="9" s="1"/>
  <c r="I49" i="9" s="1"/>
  <c r="E48" i="9"/>
  <c r="G48" i="9" s="1"/>
  <c r="I48" i="9" s="1"/>
  <c r="E47" i="9"/>
  <c r="G47" i="9" s="1"/>
  <c r="I47" i="9" s="1"/>
  <c r="E46" i="9"/>
  <c r="G46" i="9" s="1"/>
  <c r="I46" i="9" s="1"/>
  <c r="E45" i="9"/>
  <c r="G45" i="9" s="1"/>
  <c r="I45" i="9" s="1"/>
  <c r="E44" i="9"/>
  <c r="G44" i="9" s="1"/>
  <c r="I44" i="9" s="1"/>
  <c r="E43" i="9"/>
  <c r="G43" i="9" s="1"/>
  <c r="I43" i="9" s="1"/>
  <c r="E42" i="9"/>
  <c r="G42" i="9" s="1"/>
  <c r="I42" i="9" s="1"/>
  <c r="E41" i="9"/>
  <c r="G41" i="9" s="1"/>
  <c r="I41" i="9" s="1"/>
  <c r="E40" i="9"/>
  <c r="G40" i="9" s="1"/>
  <c r="I40" i="9" s="1"/>
  <c r="E39" i="9"/>
  <c r="G39" i="9" s="1"/>
  <c r="I39" i="9" s="1"/>
  <c r="E38" i="9"/>
  <c r="G38" i="9" s="1"/>
  <c r="I38" i="9" s="1"/>
  <c r="E37" i="9"/>
  <c r="G37" i="9" s="1"/>
  <c r="I37" i="9" s="1"/>
  <c r="E36" i="9"/>
  <c r="G36" i="9" s="1"/>
  <c r="I36" i="9" s="1"/>
  <c r="E35" i="9"/>
  <c r="G35" i="9" s="1"/>
  <c r="I35" i="9" s="1"/>
  <c r="E34" i="9"/>
  <c r="G34" i="9" s="1"/>
  <c r="I34" i="9" s="1"/>
  <c r="E33" i="9"/>
  <c r="G33" i="9" s="1"/>
  <c r="I33" i="9" s="1"/>
  <c r="E32" i="9"/>
  <c r="G32" i="9" s="1"/>
  <c r="I32" i="9" s="1"/>
  <c r="E31" i="9"/>
  <c r="G31" i="9" s="1"/>
  <c r="I31" i="9" s="1"/>
  <c r="E30" i="9"/>
  <c r="G30" i="9" s="1"/>
  <c r="I30" i="9" s="1"/>
  <c r="E29" i="9"/>
  <c r="G29" i="9" s="1"/>
  <c r="I29" i="9" s="1"/>
  <c r="E28" i="9"/>
  <c r="G28" i="9" s="1"/>
  <c r="I28" i="9" s="1"/>
  <c r="E27" i="9"/>
  <c r="G27" i="9" s="1"/>
  <c r="I27" i="9" s="1"/>
  <c r="E26" i="9"/>
  <c r="G26" i="9" s="1"/>
  <c r="I26" i="9" s="1"/>
  <c r="E25" i="9"/>
  <c r="G25" i="9" s="1"/>
  <c r="I25" i="9" s="1"/>
  <c r="E24" i="9"/>
  <c r="G24" i="9" s="1"/>
  <c r="I24" i="9" s="1"/>
  <c r="E23" i="9"/>
  <c r="E22" i="9"/>
  <c r="G22" i="9" s="1"/>
  <c r="I22" i="9" s="1"/>
  <c r="E21" i="9"/>
  <c r="G21" i="9" s="1"/>
  <c r="I21" i="9" s="1"/>
  <c r="E20" i="9"/>
  <c r="G20" i="9" s="1"/>
  <c r="I20" i="9" s="1"/>
  <c r="E19" i="9"/>
  <c r="G19" i="9" s="1"/>
  <c r="I19" i="9" s="1"/>
  <c r="E18" i="9"/>
  <c r="G18" i="9" s="1"/>
  <c r="I18" i="9" s="1"/>
  <c r="E17" i="9"/>
  <c r="G17" i="9" s="1"/>
  <c r="I17" i="9" s="1"/>
  <c r="E16" i="9"/>
  <c r="G16" i="9" s="1"/>
  <c r="I16" i="9" s="1"/>
  <c r="E15" i="9"/>
  <c r="G15" i="9" s="1"/>
  <c r="I15" i="9" s="1"/>
  <c r="E14" i="9"/>
  <c r="G14" i="9" s="1"/>
  <c r="I14" i="9" s="1"/>
  <c r="E13" i="9"/>
  <c r="G13" i="9" s="1"/>
  <c r="I13" i="9" s="1"/>
  <c r="E12" i="9"/>
  <c r="G12" i="9" s="1"/>
  <c r="I12" i="9" s="1"/>
  <c r="E11" i="9"/>
  <c r="G11" i="9" s="1"/>
  <c r="I11" i="9" s="1"/>
  <c r="E10" i="9"/>
  <c r="G10" i="9" s="1"/>
  <c r="I10" i="9" s="1"/>
  <c r="E9" i="9"/>
  <c r="G9" i="9" s="1"/>
  <c r="I9" i="9" s="1"/>
  <c r="E8" i="9"/>
  <c r="G8" i="9" s="1"/>
  <c r="I8" i="9" s="1"/>
  <c r="E7" i="9"/>
  <c r="G7" i="9" s="1"/>
  <c r="I7" i="9" s="1"/>
  <c r="E6" i="9"/>
  <c r="G6" i="9" s="1"/>
  <c r="I6" i="9" s="1"/>
  <c r="E5" i="9"/>
  <c r="G5" i="9" s="1"/>
  <c r="I5" i="9" s="1"/>
  <c r="E4" i="9"/>
  <c r="G4" i="9" s="1"/>
  <c r="I4" i="9" s="1"/>
  <c r="E3" i="9"/>
  <c r="J14" i="9" l="1"/>
  <c r="K14" i="9" s="1"/>
  <c r="J38" i="9"/>
  <c r="K38" i="9" s="1"/>
  <c r="J11" i="9"/>
  <c r="K11" i="9" s="1"/>
  <c r="J24" i="9"/>
  <c r="K24" i="9" s="1"/>
  <c r="J16" i="9"/>
  <c r="K16" i="9" s="1"/>
  <c r="J8" i="9"/>
  <c r="K8" i="9" s="1"/>
  <c r="J47" i="9"/>
  <c r="K47" i="9" s="1"/>
  <c r="J46" i="9"/>
  <c r="K46" i="9" s="1"/>
  <c r="J22" i="9"/>
  <c r="K22" i="9" s="1"/>
  <c r="J15" i="9"/>
  <c r="K15" i="9" s="1"/>
  <c r="J53" i="9"/>
  <c r="K53" i="9" s="1"/>
  <c r="J52" i="9"/>
  <c r="K52" i="9" s="1"/>
  <c r="J44" i="9"/>
  <c r="K44" i="9" s="1"/>
  <c r="J36" i="9"/>
  <c r="K36" i="9" s="1"/>
  <c r="J28" i="9"/>
  <c r="K28" i="9" s="1"/>
  <c r="J20" i="9"/>
  <c r="K20" i="9" s="1"/>
  <c r="J12" i="9"/>
  <c r="K12" i="9" s="1"/>
  <c r="J4" i="9"/>
  <c r="K4" i="9" s="1"/>
  <c r="J39" i="9"/>
  <c r="K39" i="9" s="1"/>
  <c r="J43" i="9"/>
  <c r="K43" i="9" s="1"/>
  <c r="J31" i="9"/>
  <c r="K31" i="9" s="1"/>
  <c r="J13" i="9"/>
  <c r="K13" i="9" s="1"/>
  <c r="J7" i="9"/>
  <c r="K7" i="9" s="1"/>
  <c r="J45" i="9"/>
  <c r="K45" i="9" s="1"/>
  <c r="J29" i="9"/>
  <c r="K29" i="9" s="1"/>
  <c r="J21" i="9"/>
  <c r="K21" i="9" s="1"/>
  <c r="J5" i="9"/>
  <c r="K5" i="9" s="1"/>
  <c r="J19" i="9"/>
  <c r="K19" i="9" s="1"/>
  <c r="J50" i="9"/>
  <c r="K50" i="9" s="1"/>
  <c r="J42" i="9"/>
  <c r="K42" i="9" s="1"/>
  <c r="J34" i="9"/>
  <c r="K34" i="9" s="1"/>
  <c r="J26" i="9"/>
  <c r="K26" i="9" s="1"/>
  <c r="J18" i="9"/>
  <c r="K18" i="9" s="1"/>
  <c r="J10" i="9"/>
  <c r="K10" i="9" s="1"/>
  <c r="J49" i="9"/>
  <c r="K49" i="9" s="1"/>
  <c r="J41" i="9"/>
  <c r="K41" i="9" s="1"/>
  <c r="J33" i="9"/>
  <c r="K33" i="9" s="1"/>
  <c r="J17" i="9"/>
  <c r="K17" i="9" s="1"/>
  <c r="J9" i="9"/>
  <c r="K9" i="9" s="1"/>
  <c r="J25" i="9"/>
  <c r="K25" i="9" s="1"/>
  <c r="J30" i="9"/>
  <c r="K30" i="9" s="1"/>
  <c r="J6" i="9"/>
  <c r="K6" i="9" s="1"/>
  <c r="J54" i="9"/>
  <c r="K54" i="9" s="1"/>
  <c r="J51" i="9"/>
  <c r="K51" i="9" s="1"/>
  <c r="J27" i="9"/>
  <c r="K27" i="9" s="1"/>
  <c r="J3" i="9"/>
  <c r="K3" i="9" s="1"/>
  <c r="D108" i="1"/>
  <c r="N11" i="9" l="1"/>
  <c r="N10" i="9"/>
  <c r="N6" i="9"/>
  <c r="N5" i="9"/>
  <c r="N4" i="9"/>
  <c r="N2" i="9"/>
  <c r="N3" i="9" l="1"/>
  <c r="O3" i="9" s="1"/>
  <c r="L2" i="9"/>
  <c r="O5" i="9" s="1"/>
  <c r="N7" i="9"/>
  <c r="O7" i="9" s="1"/>
  <c r="D104" i="1"/>
  <c r="F104" i="1" s="1"/>
  <c r="E104" i="1"/>
  <c r="E101" i="1"/>
  <c r="E102" i="1"/>
  <c r="E103" i="1"/>
  <c r="E105" i="1"/>
  <c r="E106" i="1"/>
  <c r="E107" i="1"/>
  <c r="E108" i="1"/>
  <c r="F108" i="1"/>
  <c r="D102" i="1"/>
  <c r="F102" i="1" s="1"/>
  <c r="D103" i="1"/>
  <c r="F103" i="1" s="1"/>
  <c r="D105" i="1"/>
  <c r="F105" i="1" s="1"/>
  <c r="D106" i="1"/>
  <c r="F106" i="1" s="1"/>
  <c r="D107" i="1"/>
  <c r="F107" i="1" s="1"/>
  <c r="F101" i="1"/>
  <c r="G103" i="1" l="1"/>
  <c r="H103" i="1" s="1"/>
  <c r="G108" i="1"/>
  <c r="H108" i="1" s="1"/>
  <c r="G102" i="1"/>
  <c r="H102" i="1" s="1"/>
  <c r="G106" i="1"/>
  <c r="H106" i="1" s="1"/>
  <c r="O2" i="9"/>
  <c r="P3" i="9" s="1"/>
  <c r="O6" i="9"/>
  <c r="O8" i="9"/>
  <c r="O4" i="9"/>
  <c r="G105" i="1"/>
  <c r="H105" i="1" s="1"/>
  <c r="G107" i="1"/>
  <c r="H107" i="1" s="1"/>
  <c r="G101" i="1"/>
  <c r="H101" i="1" s="1"/>
  <c r="G104" i="1"/>
  <c r="H104" i="1" s="1"/>
  <c r="E87" i="1"/>
  <c r="F87" i="1"/>
  <c r="E88" i="1"/>
  <c r="F88" i="1"/>
  <c r="E89" i="1"/>
  <c r="F89" i="1"/>
  <c r="E90" i="1"/>
  <c r="F90" i="1"/>
  <c r="E91" i="1"/>
  <c r="F91" i="1"/>
  <c r="E82" i="1"/>
  <c r="E83" i="1"/>
  <c r="E84" i="1"/>
  <c r="E85" i="1"/>
  <c r="E86" i="1"/>
  <c r="D83" i="1"/>
  <c r="F83" i="1" s="1"/>
  <c r="D84" i="1"/>
  <c r="F84" i="1" s="1"/>
  <c r="D85" i="1"/>
  <c r="F85" i="1" s="1"/>
  <c r="D86" i="1"/>
  <c r="F86" i="1" s="1"/>
  <c r="D82" i="1"/>
  <c r="F82" i="1" s="1"/>
  <c r="E77" i="1"/>
  <c r="E78" i="1"/>
  <c r="E79" i="1"/>
  <c r="E80" i="1"/>
  <c r="E81" i="1"/>
  <c r="D78" i="1"/>
  <c r="F78" i="1" s="1"/>
  <c r="D79" i="1"/>
  <c r="F79" i="1" s="1"/>
  <c r="D80" i="1"/>
  <c r="F80" i="1" s="1"/>
  <c r="D81" i="1"/>
  <c r="F81" i="1" s="1"/>
  <c r="D77" i="1"/>
  <c r="F77" i="1" s="1"/>
  <c r="E72" i="1"/>
  <c r="E73" i="1"/>
  <c r="E74" i="1"/>
  <c r="E75" i="1"/>
  <c r="E76" i="1"/>
  <c r="D73" i="1"/>
  <c r="F73" i="1" s="1"/>
  <c r="D74" i="1"/>
  <c r="F74" i="1" s="1"/>
  <c r="D75" i="1"/>
  <c r="F75" i="1" s="1"/>
  <c r="D76" i="1"/>
  <c r="F76" i="1" s="1"/>
  <c r="D72" i="1"/>
  <c r="F72" i="1" s="1"/>
  <c r="E67" i="1"/>
  <c r="E68" i="1"/>
  <c r="E69" i="1"/>
  <c r="E70" i="1"/>
  <c r="E71" i="1"/>
  <c r="D68" i="1"/>
  <c r="F68" i="1" s="1"/>
  <c r="D69" i="1"/>
  <c r="F69" i="1" s="1"/>
  <c r="D70" i="1"/>
  <c r="F70" i="1" s="1"/>
  <c r="D71" i="1"/>
  <c r="F71" i="1" s="1"/>
  <c r="D67" i="1"/>
  <c r="F67" i="1" s="1"/>
  <c r="E57" i="1"/>
  <c r="E58" i="1"/>
  <c r="E59" i="1"/>
  <c r="E60" i="1"/>
  <c r="E61" i="1"/>
  <c r="E62" i="1"/>
  <c r="E63" i="1"/>
  <c r="E64" i="1"/>
  <c r="E65" i="1"/>
  <c r="E66" i="1"/>
  <c r="D58" i="1"/>
  <c r="F58" i="1" s="1"/>
  <c r="D59" i="1"/>
  <c r="F59" i="1" s="1"/>
  <c r="G59" i="1" s="1"/>
  <c r="H59" i="1" s="1"/>
  <c r="D60" i="1"/>
  <c r="F60" i="1" s="1"/>
  <c r="D61" i="1"/>
  <c r="F61" i="1" s="1"/>
  <c r="D62" i="1"/>
  <c r="F62" i="1" s="1"/>
  <c r="D63" i="1"/>
  <c r="F63" i="1" s="1"/>
  <c r="D64" i="1"/>
  <c r="F64" i="1" s="1"/>
  <c r="D65" i="1"/>
  <c r="F65" i="1" s="1"/>
  <c r="D66" i="1"/>
  <c r="F66" i="1" s="1"/>
  <c r="D57" i="1"/>
  <c r="F57" i="1" s="1"/>
  <c r="D53" i="1"/>
  <c r="F53" i="1" s="1"/>
  <c r="E53" i="1"/>
  <c r="E51" i="1"/>
  <c r="E52" i="1"/>
  <c r="E54" i="1"/>
  <c r="E55" i="1"/>
  <c r="E56" i="1"/>
  <c r="D52" i="1"/>
  <c r="F52" i="1" s="1"/>
  <c r="D54" i="1"/>
  <c r="F54" i="1" s="1"/>
  <c r="D55" i="1"/>
  <c r="F55" i="1" s="1"/>
  <c r="D56" i="1"/>
  <c r="F56" i="1" s="1"/>
  <c r="D51" i="1"/>
  <c r="F51" i="1" s="1"/>
  <c r="D47" i="1"/>
  <c r="F47" i="1" s="1"/>
  <c r="D48" i="1"/>
  <c r="F48" i="1" s="1"/>
  <c r="D49" i="1"/>
  <c r="F49" i="1" s="1"/>
  <c r="D50" i="1"/>
  <c r="F50" i="1" s="1"/>
  <c r="D46" i="1"/>
  <c r="F46" i="1" s="1"/>
  <c r="E46" i="1"/>
  <c r="E47" i="1"/>
  <c r="E48" i="1"/>
  <c r="E49" i="1"/>
  <c r="E50" i="1"/>
  <c r="E36" i="1"/>
  <c r="F36" i="1"/>
  <c r="E37" i="1"/>
  <c r="E38" i="1"/>
  <c r="E39" i="1"/>
  <c r="E40" i="1"/>
  <c r="E41" i="1"/>
  <c r="E42" i="1"/>
  <c r="E43" i="1"/>
  <c r="E44" i="1"/>
  <c r="E45" i="1"/>
  <c r="D37" i="1"/>
  <c r="F37" i="1" s="1"/>
  <c r="D38" i="1"/>
  <c r="F38" i="1" s="1"/>
  <c r="G38" i="1" s="1"/>
  <c r="H38" i="1" s="1"/>
  <c r="D39" i="1"/>
  <c r="F39" i="1" s="1"/>
  <c r="D40" i="1"/>
  <c r="F40" i="1" s="1"/>
  <c r="D41" i="1"/>
  <c r="F41" i="1" s="1"/>
  <c r="D42" i="1"/>
  <c r="F42" i="1" s="1"/>
  <c r="D43" i="1"/>
  <c r="F43" i="1" s="1"/>
  <c r="G43" i="1" s="1"/>
  <c r="H43" i="1" s="1"/>
  <c r="D44" i="1"/>
  <c r="F44" i="1" s="1"/>
  <c r="D45" i="1"/>
  <c r="F45" i="1" s="1"/>
  <c r="E27" i="1"/>
  <c r="E28" i="1"/>
  <c r="E29" i="1"/>
  <c r="E30" i="1"/>
  <c r="E31" i="1"/>
  <c r="E32" i="1"/>
  <c r="E33" i="1"/>
  <c r="E34" i="1"/>
  <c r="E35" i="1"/>
  <c r="D28" i="1"/>
  <c r="F28" i="1" s="1"/>
  <c r="D29" i="1"/>
  <c r="F29" i="1" s="1"/>
  <c r="D30" i="1"/>
  <c r="F30" i="1" s="1"/>
  <c r="D31" i="1"/>
  <c r="F31" i="1" s="1"/>
  <c r="D32" i="1"/>
  <c r="F32" i="1" s="1"/>
  <c r="D33" i="1"/>
  <c r="F33" i="1" s="1"/>
  <c r="D34" i="1"/>
  <c r="F34" i="1" s="1"/>
  <c r="D35" i="1"/>
  <c r="F35" i="1" s="1"/>
  <c r="D27" i="1"/>
  <c r="F27" i="1" s="1"/>
  <c r="D23" i="1"/>
  <c r="F23" i="1" s="1"/>
  <c r="D24" i="1"/>
  <c r="F24" i="1" s="1"/>
  <c r="D25" i="1"/>
  <c r="F25" i="1" s="1"/>
  <c r="D26" i="1"/>
  <c r="F26" i="1" s="1"/>
  <c r="D22" i="1"/>
  <c r="F22" i="1" s="1"/>
  <c r="E22" i="1"/>
  <c r="E23" i="1"/>
  <c r="E24" i="1"/>
  <c r="E25" i="1"/>
  <c r="E26" i="1"/>
  <c r="F14" i="1"/>
  <c r="E13" i="1"/>
  <c r="F13" i="1"/>
  <c r="E14" i="1"/>
  <c r="E15" i="1"/>
  <c r="F15" i="1"/>
  <c r="E16" i="1"/>
  <c r="F16" i="1"/>
  <c r="G16" i="1" s="1"/>
  <c r="H16" i="1" s="1"/>
  <c r="E17" i="1"/>
  <c r="F17" i="1"/>
  <c r="E18" i="1"/>
  <c r="F18" i="1"/>
  <c r="E19" i="1"/>
  <c r="F19" i="1"/>
  <c r="E20" i="1"/>
  <c r="F20" i="1"/>
  <c r="E21" i="1"/>
  <c r="F21" i="1"/>
  <c r="E6" i="1"/>
  <c r="F6" i="1"/>
  <c r="E7" i="1"/>
  <c r="F7" i="1"/>
  <c r="E8" i="1"/>
  <c r="F8" i="1"/>
  <c r="E9" i="1"/>
  <c r="F9" i="1"/>
  <c r="G9" i="1" s="1"/>
  <c r="H9" i="1" s="1"/>
  <c r="E10" i="1"/>
  <c r="F10" i="1"/>
  <c r="E11" i="1"/>
  <c r="F11" i="1"/>
  <c r="E12" i="1"/>
  <c r="F12" i="1"/>
  <c r="G80" i="1" l="1"/>
  <c r="H80" i="1" s="1"/>
  <c r="G11" i="1"/>
  <c r="H11" i="1" s="1"/>
  <c r="G7" i="1"/>
  <c r="H7" i="1" s="1"/>
  <c r="G19" i="1"/>
  <c r="H19" i="1" s="1"/>
  <c r="G83" i="1"/>
  <c r="H83" i="1" s="1"/>
  <c r="G13" i="1"/>
  <c r="H13" i="1" s="1"/>
  <c r="G62" i="1"/>
  <c r="H62" i="1" s="1"/>
  <c r="G32" i="1"/>
  <c r="H32" i="1" s="1"/>
  <c r="G69" i="1"/>
  <c r="H69" i="1" s="1"/>
  <c r="G24" i="1"/>
  <c r="H24" i="1" s="1"/>
  <c r="G49" i="1"/>
  <c r="H49" i="1" s="1"/>
  <c r="G48" i="1"/>
  <c r="H48" i="1" s="1"/>
  <c r="G66" i="1"/>
  <c r="H66" i="1" s="1"/>
  <c r="G58" i="1"/>
  <c r="H58" i="1" s="1"/>
  <c r="G18" i="1"/>
  <c r="H18" i="1" s="1"/>
  <c r="G15" i="1"/>
  <c r="H15" i="1" s="1"/>
  <c r="G28" i="1"/>
  <c r="H28" i="1" s="1"/>
  <c r="G50" i="1"/>
  <c r="H50" i="1" s="1"/>
  <c r="G60" i="1"/>
  <c r="H60" i="1" s="1"/>
  <c r="G89" i="1"/>
  <c r="H89" i="1" s="1"/>
  <c r="G33" i="1"/>
  <c r="H33" i="1" s="1"/>
  <c r="G37" i="1"/>
  <c r="H37" i="1" s="1"/>
  <c r="G45" i="1"/>
  <c r="H45" i="1" s="1"/>
  <c r="G39" i="1"/>
  <c r="H39" i="1" s="1"/>
  <c r="G84" i="1"/>
  <c r="H84" i="1" s="1"/>
  <c r="G88" i="1"/>
  <c r="H88" i="1" s="1"/>
  <c r="G70" i="1"/>
  <c r="H70" i="1" s="1"/>
  <c r="G64" i="1"/>
  <c r="H64" i="1" s="1"/>
  <c r="G41" i="1"/>
  <c r="H41" i="1" s="1"/>
  <c r="G47" i="1"/>
  <c r="H47" i="1" s="1"/>
  <c r="G68" i="1"/>
  <c r="H68" i="1" s="1"/>
  <c r="G17" i="1"/>
  <c r="H17" i="1" s="1"/>
  <c r="G56" i="1"/>
  <c r="H56" i="1" s="1"/>
  <c r="G52" i="1"/>
  <c r="H52" i="1" s="1"/>
  <c r="G78" i="1"/>
  <c r="H78" i="1" s="1"/>
  <c r="G12" i="1"/>
  <c r="H12" i="1" s="1"/>
  <c r="G8" i="1"/>
  <c r="H8" i="1" s="1"/>
  <c r="G20" i="1"/>
  <c r="H20" i="1" s="1"/>
  <c r="G25" i="1"/>
  <c r="H25" i="1" s="1"/>
  <c r="G42" i="1"/>
  <c r="H42" i="1" s="1"/>
  <c r="G75" i="1"/>
  <c r="H75" i="1" s="1"/>
  <c r="G34" i="1"/>
  <c r="H34" i="1" s="1"/>
  <c r="G54" i="1"/>
  <c r="H54" i="1" s="1"/>
  <c r="G79" i="1"/>
  <c r="H79" i="1" s="1"/>
  <c r="G85" i="1"/>
  <c r="H85" i="1" s="1"/>
  <c r="G74" i="1"/>
  <c r="H74" i="1" s="1"/>
  <c r="G63" i="1"/>
  <c r="H63" i="1" s="1"/>
  <c r="G31" i="1"/>
  <c r="H31" i="1" s="1"/>
  <c r="G61" i="1"/>
  <c r="H61" i="1" s="1"/>
  <c r="G71" i="1"/>
  <c r="H71" i="1" s="1"/>
  <c r="G82" i="1"/>
  <c r="H82" i="1" s="1"/>
  <c r="G57" i="1"/>
  <c r="H57" i="1" s="1"/>
  <c r="G23" i="1"/>
  <c r="H23" i="1" s="1"/>
  <c r="G30" i="1"/>
  <c r="H30" i="1" s="1"/>
  <c r="G76" i="1"/>
  <c r="H76" i="1" s="1"/>
  <c r="G73" i="1"/>
  <c r="H73" i="1" s="1"/>
  <c r="G91" i="1"/>
  <c r="H91" i="1" s="1"/>
  <c r="G6" i="1"/>
  <c r="G67" i="1"/>
  <c r="H67" i="1" s="1"/>
  <c r="G81" i="1"/>
  <c r="H81" i="1" s="1"/>
  <c r="G90" i="1"/>
  <c r="H90" i="1" s="1"/>
  <c r="G29" i="1"/>
  <c r="H29" i="1" s="1"/>
  <c r="G72" i="1"/>
  <c r="H72" i="1" s="1"/>
  <c r="G35" i="1"/>
  <c r="H35" i="1" s="1"/>
  <c r="G51" i="1"/>
  <c r="H51" i="1" s="1"/>
  <c r="G65" i="1"/>
  <c r="H65" i="1" s="1"/>
  <c r="G77" i="1"/>
  <c r="H77" i="1" s="1"/>
  <c r="G27" i="1"/>
  <c r="H27" i="1" s="1"/>
  <c r="G40" i="1"/>
  <c r="H40" i="1" s="1"/>
  <c r="G55" i="1"/>
  <c r="H55" i="1" s="1"/>
  <c r="G86" i="1"/>
  <c r="H86" i="1" s="1"/>
  <c r="G14" i="1"/>
  <c r="H14" i="1" s="1"/>
  <c r="G44" i="1"/>
  <c r="H44" i="1" s="1"/>
  <c r="G53" i="1"/>
  <c r="H53" i="1" s="1"/>
  <c r="G10" i="1"/>
  <c r="H10" i="1" s="1"/>
  <c r="G36" i="1"/>
  <c r="H36" i="1" s="1"/>
  <c r="G21" i="1"/>
  <c r="H21" i="1" s="1"/>
  <c r="G87" i="1"/>
  <c r="G46" i="1"/>
  <c r="H46" i="1" s="1"/>
  <c r="G26" i="1"/>
  <c r="H26" i="1" s="1"/>
  <c r="G22" i="1"/>
  <c r="H22" i="1" s="1"/>
  <c r="H6" i="1" l="1"/>
  <c r="G113" i="1"/>
  <c r="K8" i="1"/>
  <c r="H87" i="1"/>
  <c r="K9" i="1"/>
  <c r="K10" i="1"/>
  <c r="K7" i="1"/>
  <c r="G114" i="1"/>
  <c r="G111" i="1"/>
  <c r="G112" i="1"/>
  <c r="J12" i="1" l="1"/>
  <c r="L7" i="1"/>
  <c r="J11" i="1"/>
  <c r="L9" i="1"/>
  <c r="L10" i="1"/>
  <c r="P10" i="1"/>
  <c r="P9" i="1"/>
  <c r="P8" i="1"/>
  <c r="Q8" i="1" s="1"/>
  <c r="P7" i="1"/>
  <c r="P6" i="1"/>
  <c r="Q6" i="1" s="1"/>
  <c r="N5" i="1"/>
  <c r="L8" i="1"/>
  <c r="Q9" i="1" l="1"/>
  <c r="Q7" i="1"/>
  <c r="Q10" i="1"/>
</calcChain>
</file>

<file path=xl/comments1.xml><?xml version="1.0" encoding="utf-8"?>
<comments xmlns="http://schemas.openxmlformats.org/spreadsheetml/2006/main">
  <authors>
    <author>John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</rPr>
          <t>John:</t>
        </r>
        <r>
          <rPr>
            <sz val="9"/>
            <color indexed="81"/>
            <rFont val="Tahoma"/>
            <family val="2"/>
          </rPr>
          <t xml:space="preserve">
note swapped FHL-FDL crocs here following Hattori+Tsuihiiji 2020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</rPr>
          <t>John:</t>
        </r>
        <r>
          <rPr>
            <sz val="9"/>
            <color indexed="81"/>
            <rFont val="Tahoma"/>
            <family val="2"/>
          </rPr>
          <t xml:space="preserve">
note altered homologies here for EDL-TA (swapped) for crocs following Hattori+Tsuihiji 2020</t>
        </r>
      </text>
    </comment>
  </commentList>
</comments>
</file>

<file path=xl/sharedStrings.xml><?xml version="1.0" encoding="utf-8"?>
<sst xmlns="http://schemas.openxmlformats.org/spreadsheetml/2006/main" count="219" uniqueCount="101">
  <si>
    <t>FL</t>
  </si>
  <si>
    <t>isf/istr</t>
  </si>
  <si>
    <t>CFL</t>
  </si>
  <si>
    <t>IT2/PIL</t>
  </si>
  <si>
    <t>AMBS</t>
  </si>
  <si>
    <t>GE</t>
  </si>
  <si>
    <t>ilfb</t>
  </si>
  <si>
    <t>fti3</t>
  </si>
  <si>
    <t>fhl</t>
  </si>
  <si>
    <t>pit</t>
  </si>
  <si>
    <t>fti2</t>
  </si>
  <si>
    <t>cfb</t>
  </si>
  <si>
    <t>max % pos change:</t>
  </si>
  <si>
    <t>max % neg change:</t>
  </si>
  <si>
    <t>AVERAGE</t>
  </si>
  <si>
    <t>10-20%</t>
  </si>
  <si>
    <t>20-30%</t>
  </si>
  <si>
    <t>30-40%</t>
  </si>
  <si>
    <t>40-50%</t>
  </si>
  <si>
    <t>&gt;5%</t>
  </si>
  <si>
    <t>5-10%</t>
  </si>
  <si>
    <t>median</t>
  </si>
  <si>
    <t>GI/GIM</t>
  </si>
  <si>
    <t>Bin</t>
  </si>
  <si>
    <t>More</t>
  </si>
  <si>
    <t>Frequency</t>
  </si>
  <si>
    <t>Cumulative %</t>
  </si>
  <si>
    <t>AA</t>
  </si>
  <si>
    <t>AA SITE</t>
  </si>
  <si>
    <t>PCSA</t>
  </si>
  <si>
    <t>DNNC04</t>
  </si>
  <si>
    <t>IT3</t>
  </si>
  <si>
    <t>FMTE</t>
  </si>
  <si>
    <t>FMTI</t>
  </si>
  <si>
    <t>ILFB</t>
  </si>
  <si>
    <t>IF</t>
  </si>
  <si>
    <t>ADD1</t>
  </si>
  <si>
    <t>ATTACH</t>
  </si>
  <si>
    <t>PCSA - measured</t>
  </si>
  <si>
    <t>PCSA- predicted</t>
  </si>
  <si>
    <t>CCNC06</t>
  </si>
  <si>
    <t>DDNC07</t>
  </si>
  <si>
    <t>DDNC08</t>
  </si>
  <si>
    <t>DDNC10</t>
  </si>
  <si>
    <t>DDT01</t>
  </si>
  <si>
    <t>PIL</t>
  </si>
  <si>
    <t>DDT04</t>
  </si>
  <si>
    <t>DDT05</t>
  </si>
  <si>
    <t>DDT08</t>
  </si>
  <si>
    <t>DDT13</t>
  </si>
  <si>
    <t>FMTL</t>
  </si>
  <si>
    <t>FMTIM</t>
  </si>
  <si>
    <t>DDNC04</t>
  </si>
  <si>
    <t>DDNC06</t>
  </si>
  <si>
    <t>COUNT</t>
  </si>
  <si>
    <t>%</t>
  </si>
  <si>
    <t>TOTAL</t>
  </si>
  <si>
    <t>10-15%</t>
  </si>
  <si>
    <t>15-20%</t>
  </si>
  <si>
    <t>IT1/IC</t>
  </si>
  <si>
    <t>mean</t>
  </si>
  <si>
    <t>BIRDS</t>
  </si>
  <si>
    <t>CROCS</t>
  </si>
  <si>
    <t>IC</t>
  </si>
  <si>
    <t>IT1</t>
  </si>
  <si>
    <t>AIL</t>
  </si>
  <si>
    <t>IT2</t>
  </si>
  <si>
    <t>AMB</t>
  </si>
  <si>
    <t>AMB1</t>
  </si>
  <si>
    <t>IFE</t>
  </si>
  <si>
    <t>ITM</t>
  </si>
  <si>
    <t>PIFI1</t>
  </si>
  <si>
    <t>FCM</t>
  </si>
  <si>
    <t>FTI3</t>
  </si>
  <si>
    <t>FCLP</t>
  </si>
  <si>
    <t>FTE</t>
  </si>
  <si>
    <t>ISF</t>
  </si>
  <si>
    <t>ISTR</t>
  </si>
  <si>
    <t>PIFL</t>
  </si>
  <si>
    <t>ADD2</t>
  </si>
  <si>
    <t>CFP</t>
  </si>
  <si>
    <t>CFB</t>
  </si>
  <si>
    <t>GL</t>
  </si>
  <si>
    <t>GIM</t>
  </si>
  <si>
    <t>GI</t>
  </si>
  <si>
    <t>FDL</t>
  </si>
  <si>
    <t>FHL</t>
  </si>
  <si>
    <t>EDL</t>
  </si>
  <si>
    <t>TA</t>
  </si>
  <si>
    <t>yellow highlight = unique prediction</t>
  </si>
  <si>
    <t>grey highlight = don't use unique</t>
  </si>
  <si>
    <t>blank = global</t>
  </si>
  <si>
    <t>predicted PCSA</t>
  </si>
  <si>
    <t>LOG_orig</t>
  </si>
  <si>
    <t>LOG_pred</t>
  </si>
  <si>
    <t>%diff</t>
  </si>
  <si>
    <t>Abs</t>
  </si>
  <si>
    <t>BINNED COUNTS</t>
  </si>
  <si>
    <t>MEDIAN</t>
  </si>
  <si>
    <t>Muscle parameter data from muscles which require the unique equation</t>
  </si>
  <si>
    <t>PCSA_MEASURED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</si>
</sst>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00"/>
    <numFmt numFmtId="166" formatCode="0.0000000000"/>
  </numFmts>
  <fonts count="13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1"/>
      <color rgb="FF0061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sz val="11"/>
      <name val="Geneva"/>
    </font>
  </fonts>
  <fills count="1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0" xfId="0" applyNumberFormat="1"/>
    <xf numFmtId="0" fontId="0" fillId="0" borderId="0" xfId="0" applyNumberFormat="1" applyFill="1" applyBorder="1" applyAlignment="1"/>
    <xf numFmtId="0" fontId="0" fillId="0" borderId="0" xfId="0" applyFill="1" applyBorder="1" applyAlignment="1"/>
    <xf numFmtId="10" fontId="0" fillId="0" borderId="0" xfId="0" applyNumberFormat="1" applyFill="1" applyBorder="1" applyAlignment="1"/>
    <xf numFmtId="0" fontId="0" fillId="0" borderId="7" xfId="0" applyFill="1" applyBorder="1" applyAlignment="1"/>
    <xf numFmtId="10" fontId="0" fillId="0" borderId="7" xfId="0" applyNumberFormat="1" applyFill="1" applyBorder="1" applyAlignment="1"/>
    <xf numFmtId="0" fontId="0" fillId="0" borderId="7" xfId="0" applyNumberFormat="1" applyFill="1" applyBorder="1" applyAlignment="1"/>
    <xf numFmtId="0" fontId="3" fillId="0" borderId="8" xfId="0" applyFont="1" applyFill="1" applyBorder="1" applyAlignment="1">
      <alignment horizontal="center"/>
    </xf>
    <xf numFmtId="2" fontId="0" fillId="0" borderId="0" xfId="0" applyNumberFormat="1" applyFill="1" applyBorder="1" applyAlignment="1"/>
    <xf numFmtId="2" fontId="0" fillId="0" borderId="7" xfId="0" applyNumberFormat="1" applyFill="1" applyBorder="1" applyAlignment="1"/>
    <xf numFmtId="165" fontId="0" fillId="0" borderId="0" xfId="0" applyNumberFormat="1" applyBorder="1"/>
    <xf numFmtId="166" fontId="0" fillId="0" borderId="0" xfId="0" applyNumberFormat="1" applyBorder="1"/>
    <xf numFmtId="166" fontId="0" fillId="0" borderId="0" xfId="0" applyNumberForma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0" fontId="2" fillId="12" borderId="0" xfId="0" applyFont="1" applyFill="1"/>
    <xf numFmtId="0" fontId="2" fillId="0" borderId="0" xfId="0" applyFont="1"/>
    <xf numFmtId="0" fontId="6" fillId="3" borderId="0" xfId="2" applyFont="1" applyFill="1"/>
    <xf numFmtId="0" fontId="7" fillId="13" borderId="0" xfId="1" applyFont="1"/>
    <xf numFmtId="0" fontId="8" fillId="0" borderId="0" xfId="0" applyFont="1" applyBorder="1"/>
    <xf numFmtId="0" fontId="3" fillId="0" borderId="1" xfId="0" applyFont="1" applyBorder="1"/>
    <xf numFmtId="0" fontId="3" fillId="0" borderId="4" xfId="0" applyFont="1" applyBorder="1"/>
    <xf numFmtId="164" fontId="3" fillId="0" borderId="0" xfId="0" applyNumberFormat="1" applyFont="1"/>
    <xf numFmtId="0" fontId="4" fillId="13" borderId="9" xfId="1" applyBorder="1"/>
    <xf numFmtId="0" fontId="2" fillId="3" borderId="10" xfId="0" applyFont="1" applyFill="1" applyBorder="1"/>
    <xf numFmtId="0" fontId="0" fillId="0" borderId="11" xfId="0" applyBorder="1"/>
    <xf numFmtId="0" fontId="11" fillId="12" borderId="7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12" borderId="1" xfId="0" applyFill="1" applyBorder="1"/>
    <xf numFmtId="0" fontId="0" fillId="12" borderId="0" xfId="0" applyFill="1"/>
    <xf numFmtId="0" fontId="0" fillId="15" borderId="0" xfId="0" applyFill="1"/>
    <xf numFmtId="0" fontId="0" fillId="12" borderId="2" xfId="0" applyFill="1" applyBorder="1"/>
    <xf numFmtId="0" fontId="0" fillId="12" borderId="3" xfId="0" applyFill="1" applyBorder="1"/>
    <xf numFmtId="0" fontId="0" fillId="16" borderId="2" xfId="0" applyFill="1" applyBorder="1"/>
    <xf numFmtId="0" fontId="0" fillId="16" borderId="3" xfId="0" applyFill="1" applyBorder="1"/>
    <xf numFmtId="0" fontId="0" fillId="16" borderId="0" xfId="0" applyFill="1"/>
    <xf numFmtId="0" fontId="2" fillId="3" borderId="7" xfId="0" applyFont="1" applyFill="1" applyBorder="1"/>
    <xf numFmtId="0" fontId="2" fillId="0" borderId="0" xfId="0" applyFont="1" applyBorder="1"/>
    <xf numFmtId="0" fontId="0" fillId="12" borderId="0" xfId="0" applyFill="1" applyBorder="1"/>
    <xf numFmtId="0" fontId="0" fillId="16" borderId="0" xfId="0" applyFill="1" applyBorder="1"/>
    <xf numFmtId="0" fontId="3" fillId="0" borderId="0" xfId="0" applyFont="1"/>
    <xf numFmtId="0" fontId="0" fillId="0" borderId="0" xfId="0" applyFont="1"/>
    <xf numFmtId="0" fontId="0" fillId="2" borderId="0" xfId="0" applyFont="1" applyFill="1"/>
    <xf numFmtId="0" fontId="0" fillId="0" borderId="2" xfId="0" applyFont="1" applyBorder="1"/>
    <xf numFmtId="0" fontId="0" fillId="0" borderId="3" xfId="0" applyFont="1" applyBorder="1"/>
    <xf numFmtId="164" fontId="0" fillId="0" borderId="0" xfId="0" applyNumberFormat="1" applyFont="1"/>
    <xf numFmtId="0" fontId="0" fillId="0" borderId="1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0" xfId="0" applyFont="1" applyBorder="1"/>
    <xf numFmtId="0" fontId="0" fillId="4" borderId="0" xfId="0" applyFont="1" applyFill="1"/>
    <xf numFmtId="2" fontId="0" fillId="0" borderId="0" xfId="0" applyNumberFormat="1" applyFont="1" applyBorder="1"/>
    <xf numFmtId="2" fontId="0" fillId="0" borderId="0" xfId="0" applyNumberFormat="1" applyFont="1"/>
    <xf numFmtId="0" fontId="0" fillId="5" borderId="0" xfId="0" applyFont="1" applyFill="1"/>
    <xf numFmtId="0" fontId="0" fillId="6" borderId="0" xfId="0" applyFont="1" applyFill="1"/>
    <xf numFmtId="0" fontId="0" fillId="7" borderId="0" xfId="0" applyFont="1" applyFill="1"/>
    <xf numFmtId="0" fontId="0" fillId="3" borderId="1" xfId="0" applyFont="1" applyFill="1" applyBorder="1"/>
    <xf numFmtId="0" fontId="0" fillId="3" borderId="1" xfId="0" applyFont="1" applyFill="1" applyBorder="1" applyAlignment="1">
      <alignment horizontal="center" vertical="center"/>
    </xf>
    <xf numFmtId="0" fontId="12" fillId="3" borderId="1" xfId="0" applyNumberFormat="1" applyFont="1" applyFill="1" applyBorder="1"/>
    <xf numFmtId="0" fontId="0" fillId="8" borderId="1" xfId="0" applyFont="1" applyFill="1" applyBorder="1"/>
    <xf numFmtId="0" fontId="0" fillId="8" borderId="0" xfId="0" applyFont="1" applyFill="1" applyBorder="1"/>
    <xf numFmtId="0" fontId="0" fillId="9" borderId="1" xfId="0" applyFont="1" applyFill="1" applyBorder="1"/>
    <xf numFmtId="0" fontId="0" fillId="9" borderId="0" xfId="0" applyFont="1" applyFill="1" applyBorder="1"/>
    <xf numFmtId="0" fontId="0" fillId="9" borderId="1" xfId="0" applyFont="1" applyFill="1" applyBorder="1" applyAlignment="1">
      <alignment horizontal="center" vertical="center"/>
    </xf>
    <xf numFmtId="0" fontId="0" fillId="3" borderId="0" xfId="0" applyFont="1" applyFill="1" applyBorder="1"/>
    <xf numFmtId="0" fontId="0" fillId="6" borderId="1" xfId="0" applyFont="1" applyFill="1" applyBorder="1"/>
    <xf numFmtId="0" fontId="0" fillId="6" borderId="0" xfId="0" applyFont="1" applyFill="1" applyBorder="1"/>
    <xf numFmtId="0" fontId="0" fillId="6" borderId="1" xfId="0" applyFont="1" applyFill="1" applyBorder="1" applyAlignment="1">
      <alignment horizontal="center" vertical="center"/>
    </xf>
    <xf numFmtId="0" fontId="0" fillId="10" borderId="1" xfId="0" applyFont="1" applyFill="1" applyBorder="1"/>
    <xf numFmtId="0" fontId="0" fillId="10" borderId="0" xfId="0" applyFont="1" applyFill="1" applyBorder="1"/>
    <xf numFmtId="0" fontId="0" fillId="10" borderId="1" xfId="0" applyFont="1" applyFill="1" applyBorder="1" applyAlignment="1">
      <alignment horizontal="center" vertical="center"/>
    </xf>
    <xf numFmtId="0" fontId="0" fillId="11" borderId="1" xfId="0" applyFont="1" applyFill="1" applyBorder="1"/>
    <xf numFmtId="0" fontId="0" fillId="11" borderId="0" xfId="0" applyFont="1" applyFill="1" applyBorder="1"/>
    <xf numFmtId="0" fontId="0" fillId="11" borderId="1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Border="1" applyAlignment="1">
      <alignment horizontal="center" vertical="center"/>
    </xf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Histogram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AA!$D$2:$D$11</c:f>
              <c:strCache>
                <c:ptCount val="10"/>
                <c:pt idx="0">
                  <c:v>34.43</c:v>
                </c:pt>
                <c:pt idx="1">
                  <c:v>67.40</c:v>
                </c:pt>
                <c:pt idx="2">
                  <c:v>100.37</c:v>
                </c:pt>
                <c:pt idx="3">
                  <c:v>166.31</c:v>
                </c:pt>
                <c:pt idx="4">
                  <c:v>133.34</c:v>
                </c:pt>
                <c:pt idx="5">
                  <c:v>1.46</c:v>
                </c:pt>
                <c:pt idx="6">
                  <c:v>232.25</c:v>
                </c:pt>
                <c:pt idx="7">
                  <c:v>265.22</c:v>
                </c:pt>
                <c:pt idx="8">
                  <c:v>199.28</c:v>
                </c:pt>
                <c:pt idx="9">
                  <c:v>More</c:v>
                </c:pt>
              </c:strCache>
            </c:strRef>
          </c:cat>
          <c:val>
            <c:numRef>
              <c:f>AA!$E$2:$E$11</c:f>
              <c:numCache>
                <c:formatCode>General</c:formatCode>
                <c:ptCount val="10"/>
                <c:pt idx="0">
                  <c:v>65</c:v>
                </c:pt>
                <c:pt idx="1">
                  <c:v>19</c:v>
                </c:pt>
                <c:pt idx="2">
                  <c:v>11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E4-4F4A-9715-074C99FAE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7458975"/>
        <c:axId val="1634004575"/>
      </c:barChart>
      <c:lineChart>
        <c:grouping val="standard"/>
        <c:varyColors val="0"/>
        <c:ser>
          <c:idx val="1"/>
          <c:order val="1"/>
          <c:tx>
            <c:v>Cumulative %</c:v>
          </c:tx>
          <c:cat>
            <c:strRef>
              <c:f>AA!$D$2:$D$11</c:f>
              <c:strCache>
                <c:ptCount val="10"/>
                <c:pt idx="0">
                  <c:v>34.43</c:v>
                </c:pt>
                <c:pt idx="1">
                  <c:v>67.40</c:v>
                </c:pt>
                <c:pt idx="2">
                  <c:v>100.37</c:v>
                </c:pt>
                <c:pt idx="3">
                  <c:v>166.31</c:v>
                </c:pt>
                <c:pt idx="4">
                  <c:v>133.34</c:v>
                </c:pt>
                <c:pt idx="5">
                  <c:v>1.46</c:v>
                </c:pt>
                <c:pt idx="6">
                  <c:v>232.25</c:v>
                </c:pt>
                <c:pt idx="7">
                  <c:v>265.22</c:v>
                </c:pt>
                <c:pt idx="8">
                  <c:v>199.28</c:v>
                </c:pt>
                <c:pt idx="9">
                  <c:v>More</c:v>
                </c:pt>
              </c:strCache>
            </c:strRef>
          </c:cat>
          <c:val>
            <c:numRef>
              <c:f>AA!$F$2:$F$11</c:f>
              <c:numCache>
                <c:formatCode>0.00%</c:formatCode>
                <c:ptCount val="10"/>
                <c:pt idx="0">
                  <c:v>0.625</c:v>
                </c:pt>
                <c:pt idx="1">
                  <c:v>0.80769230769230771</c:v>
                </c:pt>
                <c:pt idx="2">
                  <c:v>0.91346153846153844</c:v>
                </c:pt>
                <c:pt idx="3">
                  <c:v>0.95192307692307687</c:v>
                </c:pt>
                <c:pt idx="4">
                  <c:v>0.97115384615384615</c:v>
                </c:pt>
                <c:pt idx="5">
                  <c:v>0.98076923076923073</c:v>
                </c:pt>
                <c:pt idx="6">
                  <c:v>0.99038461538461542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E4-4F4A-9715-074C99FAE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7456175"/>
        <c:axId val="1634006239"/>
      </c:lineChart>
      <c:catAx>
        <c:axId val="210745897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Bin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34004575"/>
        <c:crosses val="autoZero"/>
        <c:auto val="1"/>
        <c:lblAlgn val="ctr"/>
        <c:lblOffset val="100"/>
        <c:noMultiLvlLbl val="0"/>
      </c:catAx>
      <c:valAx>
        <c:axId val="1634004575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07458975"/>
        <c:crosses val="autoZero"/>
        <c:crossBetween val="between"/>
      </c:valAx>
      <c:valAx>
        <c:axId val="1634006239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2107456175"/>
        <c:crosses val="max"/>
        <c:crossBetween val="between"/>
      </c:valAx>
      <c:catAx>
        <c:axId val="210745617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34006239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Histogram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PCSA!$D$2:$D$11</c:f>
              <c:strCache>
                <c:ptCount val="10"/>
                <c:pt idx="0">
                  <c:v>0.0001027</c:v>
                </c:pt>
                <c:pt idx="1">
                  <c:v>0.0002042</c:v>
                </c:pt>
                <c:pt idx="2">
                  <c:v>0.0008134</c:v>
                </c:pt>
                <c:pt idx="3">
                  <c:v>0.0000011</c:v>
                </c:pt>
                <c:pt idx="4">
                  <c:v>0.0003057</c:v>
                </c:pt>
                <c:pt idx="5">
                  <c:v>0.0004073</c:v>
                </c:pt>
                <c:pt idx="6">
                  <c:v>0.0005088</c:v>
                </c:pt>
                <c:pt idx="7">
                  <c:v>0.0006103</c:v>
                </c:pt>
                <c:pt idx="8">
                  <c:v>0.0007119</c:v>
                </c:pt>
                <c:pt idx="9">
                  <c:v>More</c:v>
                </c:pt>
              </c:strCache>
            </c:strRef>
          </c:cat>
          <c:val>
            <c:numRef>
              <c:f>PCSA!$E$2:$E$11</c:f>
              <c:numCache>
                <c:formatCode>General</c:formatCode>
                <c:ptCount val="10"/>
                <c:pt idx="0">
                  <c:v>84</c:v>
                </c:pt>
                <c:pt idx="1">
                  <c:v>13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48-4AAE-B0ED-3C2FA4793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2829983"/>
        <c:axId val="1894943903"/>
      </c:barChart>
      <c:lineChart>
        <c:grouping val="standard"/>
        <c:varyColors val="0"/>
        <c:ser>
          <c:idx val="1"/>
          <c:order val="1"/>
          <c:tx>
            <c:v>Cumulative %</c:v>
          </c:tx>
          <c:cat>
            <c:strRef>
              <c:f>PCSA!$D$2:$D$11</c:f>
              <c:strCache>
                <c:ptCount val="10"/>
                <c:pt idx="0">
                  <c:v>0.0001027</c:v>
                </c:pt>
                <c:pt idx="1">
                  <c:v>0.0002042</c:v>
                </c:pt>
                <c:pt idx="2">
                  <c:v>0.0008134</c:v>
                </c:pt>
                <c:pt idx="3">
                  <c:v>0.0000011</c:v>
                </c:pt>
                <c:pt idx="4">
                  <c:v>0.0003057</c:v>
                </c:pt>
                <c:pt idx="5">
                  <c:v>0.0004073</c:v>
                </c:pt>
                <c:pt idx="6">
                  <c:v>0.0005088</c:v>
                </c:pt>
                <c:pt idx="7">
                  <c:v>0.0006103</c:v>
                </c:pt>
                <c:pt idx="8">
                  <c:v>0.0007119</c:v>
                </c:pt>
                <c:pt idx="9">
                  <c:v>More</c:v>
                </c:pt>
              </c:strCache>
            </c:strRef>
          </c:cat>
          <c:val>
            <c:numRef>
              <c:f>PCSA!$F$2:$F$11</c:f>
              <c:numCache>
                <c:formatCode>0.00%</c:formatCode>
                <c:ptCount val="10"/>
                <c:pt idx="0">
                  <c:v>0.80769230769230771</c:v>
                </c:pt>
                <c:pt idx="1">
                  <c:v>0.93269230769230771</c:v>
                </c:pt>
                <c:pt idx="2">
                  <c:v>0.96153846153846156</c:v>
                </c:pt>
                <c:pt idx="3">
                  <c:v>0.97115384615384615</c:v>
                </c:pt>
                <c:pt idx="4">
                  <c:v>0.98076923076923073</c:v>
                </c:pt>
                <c:pt idx="5">
                  <c:v>0.99038461538461542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48-4AAE-B0ED-3C2FA4793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7529519"/>
        <c:axId val="1894944735"/>
      </c:lineChart>
      <c:catAx>
        <c:axId val="21128299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Bin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94943903"/>
        <c:crosses val="autoZero"/>
        <c:auto val="1"/>
        <c:lblAlgn val="ctr"/>
        <c:lblOffset val="100"/>
        <c:noMultiLvlLbl val="0"/>
      </c:catAx>
      <c:valAx>
        <c:axId val="1894943903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12829983"/>
        <c:crosses val="autoZero"/>
        <c:crossBetween val="between"/>
      </c:valAx>
      <c:valAx>
        <c:axId val="1894944735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2107529519"/>
        <c:crosses val="max"/>
        <c:crossBetween val="between"/>
      </c:valAx>
      <c:catAx>
        <c:axId val="210752951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94944735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DATA!$X$165:$X$269</c:f>
              <c:strCache>
                <c:ptCount val="105"/>
                <c:pt idx="0">
                  <c:v>1.45740272</c:v>
                </c:pt>
                <c:pt idx="1">
                  <c:v>1.76712333</c:v>
                </c:pt>
                <c:pt idx="2">
                  <c:v>2.11667189</c:v>
                </c:pt>
                <c:pt idx="3">
                  <c:v>2.48537</c:v>
                </c:pt>
                <c:pt idx="4">
                  <c:v>3.167771</c:v>
                </c:pt>
                <c:pt idx="5">
                  <c:v>3.29592809</c:v>
                </c:pt>
                <c:pt idx="6">
                  <c:v>3.34037352</c:v>
                </c:pt>
                <c:pt idx="7">
                  <c:v>3.640388</c:v>
                </c:pt>
                <c:pt idx="8">
                  <c:v>3.729175</c:v>
                </c:pt>
                <c:pt idx="9">
                  <c:v>4.189559</c:v>
                </c:pt>
                <c:pt idx="10">
                  <c:v>4.55217366</c:v>
                </c:pt>
                <c:pt idx="11">
                  <c:v>4.699729</c:v>
                </c:pt>
                <c:pt idx="12">
                  <c:v>4.882846</c:v>
                </c:pt>
                <c:pt idx="13">
                  <c:v>5.10399374</c:v>
                </c:pt>
                <c:pt idx="14">
                  <c:v>5.25173393</c:v>
                </c:pt>
                <c:pt idx="15">
                  <c:v>5.44266515</c:v>
                </c:pt>
                <c:pt idx="16">
                  <c:v>5.77094355</c:v>
                </c:pt>
                <c:pt idx="17">
                  <c:v>5.85289448</c:v>
                </c:pt>
                <c:pt idx="18">
                  <c:v>6.71872705</c:v>
                </c:pt>
                <c:pt idx="19">
                  <c:v>7.030808</c:v>
                </c:pt>
                <c:pt idx="20">
                  <c:v>7.07734954</c:v>
                </c:pt>
                <c:pt idx="21">
                  <c:v>7.1984</c:v>
                </c:pt>
                <c:pt idx="22">
                  <c:v>9.872172</c:v>
                </c:pt>
                <c:pt idx="23">
                  <c:v>10.25729647</c:v>
                </c:pt>
                <c:pt idx="24">
                  <c:v>10.34383245</c:v>
                </c:pt>
                <c:pt idx="25">
                  <c:v>10.39838804</c:v>
                </c:pt>
                <c:pt idx="26">
                  <c:v>10.469856</c:v>
                </c:pt>
                <c:pt idx="27">
                  <c:v>10.545187</c:v>
                </c:pt>
                <c:pt idx="28">
                  <c:v>10.712316</c:v>
                </c:pt>
                <c:pt idx="29">
                  <c:v>10.72815174</c:v>
                </c:pt>
                <c:pt idx="30">
                  <c:v>11.112717</c:v>
                </c:pt>
                <c:pt idx="31">
                  <c:v>11.654833</c:v>
                </c:pt>
                <c:pt idx="32">
                  <c:v>11.750446</c:v>
                </c:pt>
                <c:pt idx="33">
                  <c:v>12.807232</c:v>
                </c:pt>
                <c:pt idx="34">
                  <c:v>13.680125</c:v>
                </c:pt>
                <c:pt idx="35">
                  <c:v>13.897366</c:v>
                </c:pt>
                <c:pt idx="36">
                  <c:v>14.187999</c:v>
                </c:pt>
                <c:pt idx="37">
                  <c:v>14.555016</c:v>
                </c:pt>
                <c:pt idx="38">
                  <c:v>15.71209</c:v>
                </c:pt>
                <c:pt idx="39">
                  <c:v>15.79335505</c:v>
                </c:pt>
                <c:pt idx="40">
                  <c:v>16.233042</c:v>
                </c:pt>
                <c:pt idx="41">
                  <c:v>16.551247</c:v>
                </c:pt>
                <c:pt idx="42">
                  <c:v>17.04569551</c:v>
                </c:pt>
                <c:pt idx="43">
                  <c:v>17.62</c:v>
                </c:pt>
                <c:pt idx="44">
                  <c:v>18.02067128</c:v>
                </c:pt>
                <c:pt idx="45">
                  <c:v>18.279711</c:v>
                </c:pt>
                <c:pt idx="46">
                  <c:v>18.408</c:v>
                </c:pt>
                <c:pt idx="47">
                  <c:v>18.79</c:v>
                </c:pt>
                <c:pt idx="48">
                  <c:v>19.614048</c:v>
                </c:pt>
                <c:pt idx="49">
                  <c:v>20.492655</c:v>
                </c:pt>
                <c:pt idx="50">
                  <c:v>20.90940535</c:v>
                </c:pt>
                <c:pt idx="51">
                  <c:v>21.82254</c:v>
                </c:pt>
                <c:pt idx="52">
                  <c:v>23.82</c:v>
                </c:pt>
                <c:pt idx="53">
                  <c:v>24.187605</c:v>
                </c:pt>
                <c:pt idx="54">
                  <c:v>24.187605</c:v>
                </c:pt>
                <c:pt idx="55">
                  <c:v>24.3651768</c:v>
                </c:pt>
                <c:pt idx="56">
                  <c:v>27.958</c:v>
                </c:pt>
                <c:pt idx="57">
                  <c:v>27.958</c:v>
                </c:pt>
                <c:pt idx="58">
                  <c:v>28.85</c:v>
                </c:pt>
                <c:pt idx="59">
                  <c:v>29.487005</c:v>
                </c:pt>
                <c:pt idx="60">
                  <c:v>30.284672</c:v>
                </c:pt>
                <c:pt idx="61">
                  <c:v>31.050861</c:v>
                </c:pt>
                <c:pt idx="62">
                  <c:v>32.877258</c:v>
                </c:pt>
                <c:pt idx="63">
                  <c:v>33.361</c:v>
                </c:pt>
                <c:pt idx="64">
                  <c:v>34.26872225</c:v>
                </c:pt>
                <c:pt idx="65">
                  <c:v>34.354126</c:v>
                </c:pt>
                <c:pt idx="66">
                  <c:v>34.986053</c:v>
                </c:pt>
                <c:pt idx="67">
                  <c:v>35.73029074</c:v>
                </c:pt>
                <c:pt idx="68">
                  <c:v>36.618252</c:v>
                </c:pt>
                <c:pt idx="69">
                  <c:v>37.28</c:v>
                </c:pt>
                <c:pt idx="70">
                  <c:v>39.1007731</c:v>
                </c:pt>
                <c:pt idx="71">
                  <c:v>39.92</c:v>
                </c:pt>
                <c:pt idx="72">
                  <c:v>40.3</c:v>
                </c:pt>
                <c:pt idx="73">
                  <c:v>40.698</c:v>
                </c:pt>
                <c:pt idx="74">
                  <c:v>41.68344623</c:v>
                </c:pt>
                <c:pt idx="75">
                  <c:v>45.86</c:v>
                </c:pt>
                <c:pt idx="76">
                  <c:v>46.633232</c:v>
                </c:pt>
                <c:pt idx="77">
                  <c:v>46.633232</c:v>
                </c:pt>
                <c:pt idx="78">
                  <c:v>53.24</c:v>
                </c:pt>
                <c:pt idx="79">
                  <c:v>56.790806</c:v>
                </c:pt>
                <c:pt idx="80">
                  <c:v>58.904678</c:v>
                </c:pt>
                <c:pt idx="81">
                  <c:v>60.307549</c:v>
                </c:pt>
                <c:pt idx="82">
                  <c:v>61.25</c:v>
                </c:pt>
                <c:pt idx="83">
                  <c:v>63.051464</c:v>
                </c:pt>
                <c:pt idx="84">
                  <c:v>66.611</c:v>
                </c:pt>
                <c:pt idx="85">
                  <c:v>77.4</c:v>
                </c:pt>
                <c:pt idx="86">
                  <c:v>79.78</c:v>
                </c:pt>
                <c:pt idx="87">
                  <c:v>80.79</c:v>
                </c:pt>
                <c:pt idx="88">
                  <c:v>81.07239467</c:v>
                </c:pt>
                <c:pt idx="89">
                  <c:v>86.83736449</c:v>
                </c:pt>
                <c:pt idx="90">
                  <c:v>87.05</c:v>
                </c:pt>
                <c:pt idx="91">
                  <c:v>91.28230664</c:v>
                </c:pt>
                <c:pt idx="92">
                  <c:v>92.65</c:v>
                </c:pt>
                <c:pt idx="93">
                  <c:v>95.315979</c:v>
                </c:pt>
                <c:pt idx="94">
                  <c:v>95.315979</c:v>
                </c:pt>
                <c:pt idx="95">
                  <c:v>99.831299</c:v>
                </c:pt>
                <c:pt idx="96">
                  <c:v>104.432961</c:v>
                </c:pt>
                <c:pt idx="97">
                  <c:v>106.5105171</c:v>
                </c:pt>
                <c:pt idx="98">
                  <c:v>138.037018</c:v>
                </c:pt>
                <c:pt idx="99">
                  <c:v>153.42</c:v>
                </c:pt>
                <c:pt idx="100">
                  <c:v>153.78</c:v>
                </c:pt>
                <c:pt idx="101">
                  <c:v>164.694183</c:v>
                </c:pt>
                <c:pt idx="102">
                  <c:v>215.581</c:v>
                </c:pt>
                <c:pt idx="103">
                  <c:v>265.22</c:v>
                </c:pt>
                <c:pt idx="104">
                  <c:v>More</c:v>
                </c:pt>
              </c:strCache>
            </c:strRef>
          </c:cat>
          <c:val>
            <c:numRef>
              <c:f>DATA!$Y$165:$Y$269</c:f>
              <c:numCache>
                <c:formatCode>General</c:formatCode>
                <c:ptCount val="105"/>
                <c:pt idx="0">
                  <c:v>104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CA-4573-8B88-FE999B944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7455375"/>
        <c:axId val="1634004159"/>
      </c:barChart>
      <c:lineChart>
        <c:grouping val="standard"/>
        <c:varyColors val="0"/>
        <c:ser>
          <c:idx val="1"/>
          <c:order val="1"/>
          <c:tx>
            <c:v>Cumulative %</c:v>
          </c:tx>
          <c:cat>
            <c:strRef>
              <c:f>DATA!$X$165:$X$269</c:f>
              <c:strCache>
                <c:ptCount val="105"/>
                <c:pt idx="0">
                  <c:v>1.45740272</c:v>
                </c:pt>
                <c:pt idx="1">
                  <c:v>1.76712333</c:v>
                </c:pt>
                <c:pt idx="2">
                  <c:v>2.11667189</c:v>
                </c:pt>
                <c:pt idx="3">
                  <c:v>2.48537</c:v>
                </c:pt>
                <c:pt idx="4">
                  <c:v>3.167771</c:v>
                </c:pt>
                <c:pt idx="5">
                  <c:v>3.29592809</c:v>
                </c:pt>
                <c:pt idx="6">
                  <c:v>3.34037352</c:v>
                </c:pt>
                <c:pt idx="7">
                  <c:v>3.640388</c:v>
                </c:pt>
                <c:pt idx="8">
                  <c:v>3.729175</c:v>
                </c:pt>
                <c:pt idx="9">
                  <c:v>4.189559</c:v>
                </c:pt>
                <c:pt idx="10">
                  <c:v>4.55217366</c:v>
                </c:pt>
                <c:pt idx="11">
                  <c:v>4.699729</c:v>
                </c:pt>
                <c:pt idx="12">
                  <c:v>4.882846</c:v>
                </c:pt>
                <c:pt idx="13">
                  <c:v>5.10399374</c:v>
                </c:pt>
                <c:pt idx="14">
                  <c:v>5.25173393</c:v>
                </c:pt>
                <c:pt idx="15">
                  <c:v>5.44266515</c:v>
                </c:pt>
                <c:pt idx="16">
                  <c:v>5.77094355</c:v>
                </c:pt>
                <c:pt idx="17">
                  <c:v>5.85289448</c:v>
                </c:pt>
                <c:pt idx="18">
                  <c:v>6.71872705</c:v>
                </c:pt>
                <c:pt idx="19">
                  <c:v>7.030808</c:v>
                </c:pt>
                <c:pt idx="20">
                  <c:v>7.07734954</c:v>
                </c:pt>
                <c:pt idx="21">
                  <c:v>7.1984</c:v>
                </c:pt>
                <c:pt idx="22">
                  <c:v>9.872172</c:v>
                </c:pt>
                <c:pt idx="23">
                  <c:v>10.25729647</c:v>
                </c:pt>
                <c:pt idx="24">
                  <c:v>10.34383245</c:v>
                </c:pt>
                <c:pt idx="25">
                  <c:v>10.39838804</c:v>
                </c:pt>
                <c:pt idx="26">
                  <c:v>10.469856</c:v>
                </c:pt>
                <c:pt idx="27">
                  <c:v>10.545187</c:v>
                </c:pt>
                <c:pt idx="28">
                  <c:v>10.712316</c:v>
                </c:pt>
                <c:pt idx="29">
                  <c:v>10.72815174</c:v>
                </c:pt>
                <c:pt idx="30">
                  <c:v>11.112717</c:v>
                </c:pt>
                <c:pt idx="31">
                  <c:v>11.654833</c:v>
                </c:pt>
                <c:pt idx="32">
                  <c:v>11.750446</c:v>
                </c:pt>
                <c:pt idx="33">
                  <c:v>12.807232</c:v>
                </c:pt>
                <c:pt idx="34">
                  <c:v>13.680125</c:v>
                </c:pt>
                <c:pt idx="35">
                  <c:v>13.897366</c:v>
                </c:pt>
                <c:pt idx="36">
                  <c:v>14.187999</c:v>
                </c:pt>
                <c:pt idx="37">
                  <c:v>14.555016</c:v>
                </c:pt>
                <c:pt idx="38">
                  <c:v>15.71209</c:v>
                </c:pt>
                <c:pt idx="39">
                  <c:v>15.79335505</c:v>
                </c:pt>
                <c:pt idx="40">
                  <c:v>16.233042</c:v>
                </c:pt>
                <c:pt idx="41">
                  <c:v>16.551247</c:v>
                </c:pt>
                <c:pt idx="42">
                  <c:v>17.04569551</c:v>
                </c:pt>
                <c:pt idx="43">
                  <c:v>17.62</c:v>
                </c:pt>
                <c:pt idx="44">
                  <c:v>18.02067128</c:v>
                </c:pt>
                <c:pt idx="45">
                  <c:v>18.279711</c:v>
                </c:pt>
                <c:pt idx="46">
                  <c:v>18.408</c:v>
                </c:pt>
                <c:pt idx="47">
                  <c:v>18.79</c:v>
                </c:pt>
                <c:pt idx="48">
                  <c:v>19.614048</c:v>
                </c:pt>
                <c:pt idx="49">
                  <c:v>20.492655</c:v>
                </c:pt>
                <c:pt idx="50">
                  <c:v>20.90940535</c:v>
                </c:pt>
                <c:pt idx="51">
                  <c:v>21.82254</c:v>
                </c:pt>
                <c:pt idx="52">
                  <c:v>23.82</c:v>
                </c:pt>
                <c:pt idx="53">
                  <c:v>24.187605</c:v>
                </c:pt>
                <c:pt idx="54">
                  <c:v>24.187605</c:v>
                </c:pt>
                <c:pt idx="55">
                  <c:v>24.3651768</c:v>
                </c:pt>
                <c:pt idx="56">
                  <c:v>27.958</c:v>
                </c:pt>
                <c:pt idx="57">
                  <c:v>27.958</c:v>
                </c:pt>
                <c:pt idx="58">
                  <c:v>28.85</c:v>
                </c:pt>
                <c:pt idx="59">
                  <c:v>29.487005</c:v>
                </c:pt>
                <c:pt idx="60">
                  <c:v>30.284672</c:v>
                </c:pt>
                <c:pt idx="61">
                  <c:v>31.050861</c:v>
                </c:pt>
                <c:pt idx="62">
                  <c:v>32.877258</c:v>
                </c:pt>
                <c:pt idx="63">
                  <c:v>33.361</c:v>
                </c:pt>
                <c:pt idx="64">
                  <c:v>34.26872225</c:v>
                </c:pt>
                <c:pt idx="65">
                  <c:v>34.354126</c:v>
                </c:pt>
                <c:pt idx="66">
                  <c:v>34.986053</c:v>
                </c:pt>
                <c:pt idx="67">
                  <c:v>35.73029074</c:v>
                </c:pt>
                <c:pt idx="68">
                  <c:v>36.618252</c:v>
                </c:pt>
                <c:pt idx="69">
                  <c:v>37.28</c:v>
                </c:pt>
                <c:pt idx="70">
                  <c:v>39.1007731</c:v>
                </c:pt>
                <c:pt idx="71">
                  <c:v>39.92</c:v>
                </c:pt>
                <c:pt idx="72">
                  <c:v>40.3</c:v>
                </c:pt>
                <c:pt idx="73">
                  <c:v>40.698</c:v>
                </c:pt>
                <c:pt idx="74">
                  <c:v>41.68344623</c:v>
                </c:pt>
                <c:pt idx="75">
                  <c:v>45.86</c:v>
                </c:pt>
                <c:pt idx="76">
                  <c:v>46.633232</c:v>
                </c:pt>
                <c:pt idx="77">
                  <c:v>46.633232</c:v>
                </c:pt>
                <c:pt idx="78">
                  <c:v>53.24</c:v>
                </c:pt>
                <c:pt idx="79">
                  <c:v>56.790806</c:v>
                </c:pt>
                <c:pt idx="80">
                  <c:v>58.904678</c:v>
                </c:pt>
                <c:pt idx="81">
                  <c:v>60.307549</c:v>
                </c:pt>
                <c:pt idx="82">
                  <c:v>61.25</c:v>
                </c:pt>
                <c:pt idx="83">
                  <c:v>63.051464</c:v>
                </c:pt>
                <c:pt idx="84">
                  <c:v>66.611</c:v>
                </c:pt>
                <c:pt idx="85">
                  <c:v>77.4</c:v>
                </c:pt>
                <c:pt idx="86">
                  <c:v>79.78</c:v>
                </c:pt>
                <c:pt idx="87">
                  <c:v>80.79</c:v>
                </c:pt>
                <c:pt idx="88">
                  <c:v>81.07239467</c:v>
                </c:pt>
                <c:pt idx="89">
                  <c:v>86.83736449</c:v>
                </c:pt>
                <c:pt idx="90">
                  <c:v>87.05</c:v>
                </c:pt>
                <c:pt idx="91">
                  <c:v>91.28230664</c:v>
                </c:pt>
                <c:pt idx="92">
                  <c:v>92.65</c:v>
                </c:pt>
                <c:pt idx="93">
                  <c:v>95.315979</c:v>
                </c:pt>
                <c:pt idx="94">
                  <c:v>95.315979</c:v>
                </c:pt>
                <c:pt idx="95">
                  <c:v>99.831299</c:v>
                </c:pt>
                <c:pt idx="96">
                  <c:v>104.432961</c:v>
                </c:pt>
                <c:pt idx="97">
                  <c:v>106.5105171</c:v>
                </c:pt>
                <c:pt idx="98">
                  <c:v>138.037018</c:v>
                </c:pt>
                <c:pt idx="99">
                  <c:v>153.42</c:v>
                </c:pt>
                <c:pt idx="100">
                  <c:v>153.78</c:v>
                </c:pt>
                <c:pt idx="101">
                  <c:v>164.694183</c:v>
                </c:pt>
                <c:pt idx="102">
                  <c:v>215.581</c:v>
                </c:pt>
                <c:pt idx="103">
                  <c:v>265.22</c:v>
                </c:pt>
                <c:pt idx="104">
                  <c:v>More</c:v>
                </c:pt>
              </c:strCache>
            </c:strRef>
          </c:cat>
          <c:val>
            <c:numRef>
              <c:f>DATA!$Z$165:$Z$269</c:f>
              <c:numCache>
                <c:formatCode>0.00%</c:formatCode>
                <c:ptCount val="10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CA-4573-8B88-FE999B944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7458575"/>
        <c:axId val="1634004991"/>
      </c:lineChart>
      <c:catAx>
        <c:axId val="210745537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Bin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34004159"/>
        <c:crosses val="autoZero"/>
        <c:auto val="1"/>
        <c:lblAlgn val="ctr"/>
        <c:lblOffset val="100"/>
        <c:noMultiLvlLbl val="0"/>
      </c:catAx>
      <c:valAx>
        <c:axId val="1634004159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07455375"/>
        <c:crosses val="autoZero"/>
        <c:crossBetween val="between"/>
      </c:valAx>
      <c:valAx>
        <c:axId val="1634004991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2107458575"/>
        <c:crosses val="max"/>
        <c:crossBetween val="between"/>
      </c:valAx>
      <c:catAx>
        <c:axId val="210745857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34004991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251460</xdr:colOff>
      <xdr:row>0</xdr:row>
      <xdr:rowOff>175260</xdr:rowOff>
    </xdr:from>
    <xdr:to>
      <xdr:col>15</xdr:col>
      <xdr:colOff>350520</xdr:colOff>
      <xdr:row>17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803FD24-0509-42F0-97B3-45B42989AC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251460</xdr:colOff>
      <xdr:row>0</xdr:row>
      <xdr:rowOff>175260</xdr:rowOff>
    </xdr:from>
    <xdr:to>
      <xdr:col>15</xdr:col>
      <xdr:colOff>160020</xdr:colOff>
      <xdr:row>18</xdr:row>
      <xdr:rowOff>68580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53B52A2-A08E-4437-8CD3-CA63600116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320041</xdr:colOff>
      <xdr:row>82</xdr:row>
      <xdr:rowOff>22861</xdr:rowOff>
    </xdr:from>
    <xdr:to>
      <xdr:col>33</xdr:col>
      <xdr:colOff>320041</xdr:colOff>
      <xdr:row>92</xdr:row>
      <xdr:rowOff>22861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D68DA0-B6F8-49DD-8682-E3A4830222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H26" sqref="H26"/>
    </sheetView>
  </sheetViews>
  <sheetFormatPr defaultRowHeight="14.4"/>
  <sheetData>
    <row r="1" spans="1:6">
      <c r="A1" s="16" t="s">
        <v>23</v>
      </c>
      <c r="B1" s="16" t="s">
        <v>25</v>
      </c>
      <c r="C1" s="16" t="s">
        <v>26</v>
      </c>
      <c r="D1" s="16" t="s">
        <v>23</v>
      </c>
      <c r="E1" s="16" t="s">
        <v>25</v>
      </c>
      <c r="F1" s="16" t="s">
        <v>26</v>
      </c>
    </row>
    <row r="2" spans="1:6">
      <c r="A2" s="17">
        <v>1.4574027199999999</v>
      </c>
      <c r="B2" s="11">
        <v>1</v>
      </c>
      <c r="C2" s="12">
        <v>9.6153846153846159E-3</v>
      </c>
      <c r="D2" s="17">
        <v>34.42772738</v>
      </c>
      <c r="E2" s="11">
        <v>65</v>
      </c>
      <c r="F2" s="12">
        <v>0.625</v>
      </c>
    </row>
    <row r="3" spans="1:6">
      <c r="A3" s="17">
        <v>34.42772738</v>
      </c>
      <c r="B3" s="11">
        <v>65</v>
      </c>
      <c r="C3" s="12">
        <v>0.63461538461538458</v>
      </c>
      <c r="D3" s="17">
        <v>67.39805204000001</v>
      </c>
      <c r="E3" s="11">
        <v>19</v>
      </c>
      <c r="F3" s="12">
        <v>0.80769230769230771</v>
      </c>
    </row>
    <row r="4" spans="1:6">
      <c r="A4" s="17">
        <v>67.39805204000001</v>
      </c>
      <c r="B4" s="11">
        <v>19</v>
      </c>
      <c r="C4" s="12">
        <v>0.81730769230769229</v>
      </c>
      <c r="D4" s="17">
        <v>100.36837670000001</v>
      </c>
      <c r="E4" s="11">
        <v>11</v>
      </c>
      <c r="F4" s="12">
        <v>0.91346153846153844</v>
      </c>
    </row>
    <row r="5" spans="1:6">
      <c r="A5" s="17">
        <v>100.36837670000001</v>
      </c>
      <c r="B5" s="11">
        <v>11</v>
      </c>
      <c r="C5" s="12">
        <v>0.92307692307692313</v>
      </c>
      <c r="D5" s="17">
        <v>166.30902602000003</v>
      </c>
      <c r="E5" s="11">
        <v>4</v>
      </c>
      <c r="F5" s="12">
        <v>0.95192307692307687</v>
      </c>
    </row>
    <row r="6" spans="1:6">
      <c r="A6" s="17">
        <v>133.33870136000002</v>
      </c>
      <c r="B6" s="11">
        <v>2</v>
      </c>
      <c r="C6" s="12">
        <v>0.94230769230769229</v>
      </c>
      <c r="D6" s="17">
        <v>133.33870136000002</v>
      </c>
      <c r="E6" s="11">
        <v>2</v>
      </c>
      <c r="F6" s="12">
        <v>0.97115384615384615</v>
      </c>
    </row>
    <row r="7" spans="1:6">
      <c r="A7" s="17">
        <v>166.30902602000003</v>
      </c>
      <c r="B7" s="11">
        <v>4</v>
      </c>
      <c r="C7" s="12">
        <v>0.98076923076923073</v>
      </c>
      <c r="D7" s="17">
        <v>1.4574027199999999</v>
      </c>
      <c r="E7" s="11">
        <v>1</v>
      </c>
      <c r="F7" s="12">
        <v>0.98076923076923073</v>
      </c>
    </row>
    <row r="8" spans="1:6">
      <c r="A8" s="17">
        <v>199.27935068000002</v>
      </c>
      <c r="B8" s="11">
        <v>0</v>
      </c>
      <c r="C8" s="12">
        <v>0.98076923076923073</v>
      </c>
      <c r="D8" s="17">
        <v>232.24967534000001</v>
      </c>
      <c r="E8" s="11">
        <v>1</v>
      </c>
      <c r="F8" s="12">
        <v>0.99038461538461542</v>
      </c>
    </row>
    <row r="9" spans="1:6">
      <c r="A9" s="17">
        <v>232.24967534000001</v>
      </c>
      <c r="B9" s="11">
        <v>1</v>
      </c>
      <c r="C9" s="12">
        <v>0.99038461538461542</v>
      </c>
      <c r="D9" s="17">
        <v>265.22000000000003</v>
      </c>
      <c r="E9" s="11">
        <v>1</v>
      </c>
      <c r="F9" s="12">
        <v>1</v>
      </c>
    </row>
    <row r="10" spans="1:6">
      <c r="A10" s="17">
        <v>265.22000000000003</v>
      </c>
      <c r="B10" s="11">
        <v>1</v>
      </c>
      <c r="C10" s="12">
        <v>1</v>
      </c>
      <c r="D10" s="17">
        <v>199.27935068000002</v>
      </c>
      <c r="E10" s="11">
        <v>0</v>
      </c>
      <c r="F10" s="12">
        <v>1</v>
      </c>
    </row>
    <row r="11" spans="1:6" ht="14.7" thickBot="1">
      <c r="A11" s="13" t="s">
        <v>24</v>
      </c>
      <c r="B11" s="13">
        <v>0</v>
      </c>
      <c r="C11" s="14">
        <v>1</v>
      </c>
      <c r="D11" s="18" t="s">
        <v>24</v>
      </c>
      <c r="E11" s="13">
        <v>0</v>
      </c>
      <c r="F11" s="14">
        <v>1</v>
      </c>
    </row>
    <row r="16" spans="1:6">
      <c r="A16" s="24" t="s">
        <v>28</v>
      </c>
    </row>
  </sheetData>
  <sortState ref="D2:E11">
    <sortCondition descending="1" ref="E2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D19" sqref="D19"/>
    </sheetView>
  </sheetViews>
  <sheetFormatPr defaultRowHeight="14.4"/>
  <cols>
    <col min="1" max="1" width="9.5234375" bestFit="1" customWidth="1"/>
    <col min="4" max="4" width="9.5234375" bestFit="1" customWidth="1"/>
  </cols>
  <sheetData>
    <row r="1" spans="1:6">
      <c r="A1" s="16" t="s">
        <v>23</v>
      </c>
      <c r="B1" s="16" t="s">
        <v>25</v>
      </c>
      <c r="C1" s="16" t="s">
        <v>26</v>
      </c>
      <c r="D1" s="16" t="s">
        <v>23</v>
      </c>
      <c r="E1" s="16" t="s">
        <v>25</v>
      </c>
      <c r="F1" s="16" t="s">
        <v>26</v>
      </c>
    </row>
    <row r="2" spans="1:6">
      <c r="A2" s="22">
        <v>1.1163491545667487E-6</v>
      </c>
      <c r="B2" s="11">
        <v>1</v>
      </c>
      <c r="C2" s="12">
        <v>9.6153846153846159E-3</v>
      </c>
      <c r="D2" s="22">
        <v>1.0265197124201574E-4</v>
      </c>
      <c r="E2" s="11">
        <v>84</v>
      </c>
      <c r="F2" s="12">
        <v>0.80769230769230771</v>
      </c>
    </row>
    <row r="3" spans="1:6">
      <c r="A3" s="22">
        <v>1.0265197124201574E-4</v>
      </c>
      <c r="B3" s="11">
        <v>84</v>
      </c>
      <c r="C3" s="12">
        <v>0.81730769230769229</v>
      </c>
      <c r="D3" s="22">
        <v>2.0418759332946476E-4</v>
      </c>
      <c r="E3" s="11">
        <v>13</v>
      </c>
      <c r="F3" s="12">
        <v>0.93269230769230771</v>
      </c>
    </row>
    <row r="4" spans="1:6">
      <c r="A4" s="22">
        <v>2.0418759332946476E-4</v>
      </c>
      <c r="B4" s="11">
        <v>13</v>
      </c>
      <c r="C4" s="12">
        <v>0.94230769230769229</v>
      </c>
      <c r="D4" s="22">
        <v>8.1340132585415871E-4</v>
      </c>
      <c r="E4" s="11">
        <v>3</v>
      </c>
      <c r="F4" s="12">
        <v>0.96153846153846156</v>
      </c>
    </row>
    <row r="5" spans="1:6">
      <c r="A5" s="22">
        <v>3.0572321541691379E-4</v>
      </c>
      <c r="B5" s="11">
        <v>1</v>
      </c>
      <c r="C5" s="12">
        <v>0.95192307692307687</v>
      </c>
      <c r="D5" s="22">
        <v>1.1163491545667487E-6</v>
      </c>
      <c r="E5" s="11">
        <v>1</v>
      </c>
      <c r="F5" s="12">
        <v>0.97115384615384615</v>
      </c>
    </row>
    <row r="6" spans="1:6">
      <c r="A6" s="22">
        <v>4.0725883750436276E-4</v>
      </c>
      <c r="B6" s="11">
        <v>1</v>
      </c>
      <c r="C6" s="12">
        <v>0.96153846153846156</v>
      </c>
      <c r="D6" s="22">
        <v>3.0572321541691379E-4</v>
      </c>
      <c r="E6" s="11">
        <v>1</v>
      </c>
      <c r="F6" s="12">
        <v>0.98076923076923073</v>
      </c>
    </row>
    <row r="7" spans="1:6">
      <c r="A7" s="22">
        <v>5.0879445959181168E-4</v>
      </c>
      <c r="B7" s="11">
        <v>1</v>
      </c>
      <c r="C7" s="12">
        <v>0.97115384615384615</v>
      </c>
      <c r="D7" s="22">
        <v>4.0725883750436276E-4</v>
      </c>
      <c r="E7" s="11">
        <v>1</v>
      </c>
      <c r="F7" s="12">
        <v>0.99038461538461542</v>
      </c>
    </row>
    <row r="8" spans="1:6">
      <c r="A8" s="22">
        <v>6.1033008167926076E-4</v>
      </c>
      <c r="B8" s="11">
        <v>0</v>
      </c>
      <c r="C8" s="12">
        <v>0.97115384615384615</v>
      </c>
      <c r="D8" s="22">
        <v>5.0879445959181168E-4</v>
      </c>
      <c r="E8" s="11">
        <v>1</v>
      </c>
      <c r="F8" s="12">
        <v>1</v>
      </c>
    </row>
    <row r="9" spans="1:6">
      <c r="A9" s="22">
        <v>7.1186570376670973E-4</v>
      </c>
      <c r="B9" s="11">
        <v>0</v>
      </c>
      <c r="C9" s="12">
        <v>0.97115384615384615</v>
      </c>
      <c r="D9" s="22">
        <v>6.1033008167926076E-4</v>
      </c>
      <c r="E9" s="11">
        <v>0</v>
      </c>
      <c r="F9" s="12">
        <v>1</v>
      </c>
    </row>
    <row r="10" spans="1:6">
      <c r="A10" s="22">
        <v>8.1340132585415871E-4</v>
      </c>
      <c r="B10" s="11">
        <v>3</v>
      </c>
      <c r="C10" s="12">
        <v>1</v>
      </c>
      <c r="D10" s="22">
        <v>7.1186570376670973E-4</v>
      </c>
      <c r="E10" s="11">
        <v>0</v>
      </c>
      <c r="F10" s="12">
        <v>1</v>
      </c>
    </row>
    <row r="11" spans="1:6" ht="14.7" thickBot="1">
      <c r="A11" s="13" t="s">
        <v>24</v>
      </c>
      <c r="B11" s="13">
        <v>0</v>
      </c>
      <c r="C11" s="14">
        <v>1</v>
      </c>
      <c r="D11" s="23" t="s">
        <v>24</v>
      </c>
      <c r="E11" s="13">
        <v>0</v>
      </c>
      <c r="F11" s="14">
        <v>1</v>
      </c>
    </row>
    <row r="15" spans="1:6">
      <c r="A15" s="24" t="s">
        <v>29</v>
      </c>
    </row>
  </sheetData>
  <sortState ref="D2:E11">
    <sortCondition descending="1" ref="E2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9"/>
  <sheetViews>
    <sheetView topLeftCell="A94" zoomScaleNormal="100" workbookViewId="0">
      <selection activeCell="E13" sqref="E13"/>
    </sheetView>
  </sheetViews>
  <sheetFormatPr defaultRowHeight="14.4"/>
  <cols>
    <col min="4" max="4" width="12.15625" bestFit="1" customWidth="1"/>
    <col min="12" max="12" width="9.5234375" bestFit="1" customWidth="1"/>
    <col min="14" max="14" width="12.5234375" bestFit="1" customWidth="1"/>
    <col min="15" max="15" width="9.5234375" bestFit="1" customWidth="1"/>
  </cols>
  <sheetData>
    <row r="1" spans="1:17">
      <c r="B1" s="40" t="s">
        <v>99</v>
      </c>
      <c r="C1" s="40"/>
      <c r="D1" s="40"/>
      <c r="E1" s="40"/>
      <c r="F1" s="40"/>
      <c r="G1" s="40"/>
      <c r="H1" s="40"/>
    </row>
    <row r="4" spans="1:17" ht="14.7" thickBot="1">
      <c r="A4" s="52"/>
      <c r="B4" s="25" t="s">
        <v>27</v>
      </c>
      <c r="C4" s="25" t="s">
        <v>29</v>
      </c>
      <c r="D4" s="25" t="s">
        <v>39</v>
      </c>
      <c r="E4" s="25" t="s">
        <v>93</v>
      </c>
      <c r="F4" s="25" t="s">
        <v>94</v>
      </c>
      <c r="G4" s="25" t="s">
        <v>95</v>
      </c>
      <c r="H4" s="25" t="s">
        <v>96</v>
      </c>
      <c r="I4" s="52"/>
      <c r="J4" s="25" t="s">
        <v>97</v>
      </c>
      <c r="K4" s="52"/>
      <c r="L4" s="52"/>
      <c r="O4" s="25" t="s">
        <v>97</v>
      </c>
    </row>
    <row r="5" spans="1:17">
      <c r="A5" s="52" t="s">
        <v>0</v>
      </c>
      <c r="B5" s="53">
        <v>91.282306640000002</v>
      </c>
      <c r="C5" s="53">
        <v>5.0470717577365884E-5</v>
      </c>
      <c r="D5" s="52">
        <f>(-0.2664*(B5)+95.42)/1000000</f>
        <v>7.1102393511104003E-5</v>
      </c>
      <c r="E5" s="52">
        <f>LOG10(C5)</f>
        <v>-4.2969605205551007</v>
      </c>
      <c r="F5" s="52">
        <f>LOG10(D5)</f>
        <v>-4.1481157794225743</v>
      </c>
      <c r="G5" s="52">
        <f>((E5-F5)/F5)*100</f>
        <v>3.5882494377542642</v>
      </c>
      <c r="H5" s="52">
        <f>ABS(G5)</f>
        <v>3.5882494377542642</v>
      </c>
      <c r="I5" s="52">
        <f>COUNT(G5:G108)</f>
        <v>104</v>
      </c>
      <c r="J5" s="54" t="s">
        <v>19</v>
      </c>
      <c r="K5" s="55">
        <f>COUNTIF(G5:G108,"&lt;5")</f>
        <v>87</v>
      </c>
      <c r="L5" s="56">
        <f>(K5/I5)*100</f>
        <v>83.65384615384616</v>
      </c>
      <c r="N5">
        <f>COUNT(H5:H108)</f>
        <v>104</v>
      </c>
      <c r="O5" s="3" t="s">
        <v>19</v>
      </c>
      <c r="P5" s="4">
        <f>COUNTIF(H5:H108,"&lt;5")</f>
        <v>80</v>
      </c>
      <c r="Q5" s="9">
        <f>(P5/N5)*100</f>
        <v>76.923076923076934</v>
      </c>
    </row>
    <row r="6" spans="1:17">
      <c r="A6" s="52"/>
      <c r="B6" s="53">
        <v>56.790806000000003</v>
      </c>
      <c r="C6" s="53">
        <v>6.3018465037197293E-5</v>
      </c>
      <c r="D6" s="52">
        <f t="shared" ref="D6:D12" si="0">(-0.2664*(B6)+95.42)/1000000</f>
        <v>8.02909292816E-5</v>
      </c>
      <c r="E6" s="52">
        <f t="shared" ref="E6:E12" si="1">LOG10(C6)</f>
        <v>-4.2005321792958448</v>
      </c>
      <c r="F6" s="52">
        <f t="shared" ref="F6:F12" si="2">LOG10(D6)</f>
        <v>-4.0953335155614283</v>
      </c>
      <c r="G6" s="52">
        <f>((E6-F6)/F6)*100</f>
        <v>2.5687447270089989</v>
      </c>
      <c r="H6" s="52">
        <f t="shared" ref="H6:H69" si="3">ABS(G6)</f>
        <v>2.5687447270089989</v>
      </c>
      <c r="I6" s="52"/>
      <c r="J6" s="57" t="s">
        <v>20</v>
      </c>
      <c r="K6" s="58">
        <f>COUNTIF(G5:G108,"&gt;=5")-COUNTIF(G5:G108,"&gt;10")</f>
        <v>11</v>
      </c>
      <c r="L6" s="56">
        <f>(K6/I5)*100</f>
        <v>10.576923076923077</v>
      </c>
      <c r="O6" s="5" t="s">
        <v>20</v>
      </c>
      <c r="P6" s="6">
        <f>COUNTIF(H5:H108,"&gt;=5")-COUNTIF(H5:H108,"&gt;10")</f>
        <v>15</v>
      </c>
      <c r="Q6" s="9">
        <f>(P6/N5)*100</f>
        <v>14.423076923076922</v>
      </c>
    </row>
    <row r="7" spans="1:17">
      <c r="A7" s="52"/>
      <c r="B7" s="53">
        <v>31.050861000000001</v>
      </c>
      <c r="C7" s="53">
        <v>3.6769553750018299E-5</v>
      </c>
      <c r="D7" s="52">
        <f t="shared" si="0"/>
        <v>8.71480506296E-5</v>
      </c>
      <c r="E7" s="52">
        <f t="shared" si="1"/>
        <v>-4.4345116408703449</v>
      </c>
      <c r="F7" s="52">
        <f t="shared" si="2"/>
        <v>-4.0597423229576188</v>
      </c>
      <c r="G7" s="52">
        <f t="shared" ref="G7:G12" si="4">((E7-F7)/F7)*100</f>
        <v>9.2313572660369658</v>
      </c>
      <c r="H7" s="52">
        <f t="shared" si="3"/>
        <v>9.2313572660369658</v>
      </c>
      <c r="I7" s="52"/>
      <c r="J7" s="57" t="s">
        <v>15</v>
      </c>
      <c r="K7" s="58">
        <f>COUNTIF(G5:G108,"&gt;=10")-COUNTIF(G5:G108,"&gt;20")</f>
        <v>4</v>
      </c>
      <c r="L7" s="56">
        <f>(K7/I5)*100</f>
        <v>3.8461538461538463</v>
      </c>
      <c r="O7" s="5" t="s">
        <v>15</v>
      </c>
      <c r="P7" s="6">
        <f>COUNTIF(H5:H108,"&gt;=10")-COUNTIF(H5:H108,"&gt;20")</f>
        <v>5</v>
      </c>
      <c r="Q7" s="9">
        <f>(P7/N5)*100</f>
        <v>4.8076923076923084</v>
      </c>
    </row>
    <row r="8" spans="1:17">
      <c r="A8" s="52"/>
      <c r="B8" s="53">
        <v>35.730290740000001</v>
      </c>
      <c r="C8" s="53">
        <v>4.058949399091185E-5</v>
      </c>
      <c r="D8" s="52">
        <f t="shared" si="0"/>
        <v>8.5901450546863994E-5</v>
      </c>
      <c r="E8" s="52">
        <f t="shared" si="1"/>
        <v>-4.391586362782852</v>
      </c>
      <c r="F8" s="52">
        <f t="shared" si="2"/>
        <v>-4.0659995025345328</v>
      </c>
      <c r="G8" s="52">
        <f t="shared" si="4"/>
        <v>8.0075479607256526</v>
      </c>
      <c r="H8" s="52">
        <f t="shared" si="3"/>
        <v>8.0075479607256526</v>
      </c>
      <c r="I8" s="52"/>
      <c r="J8" s="57" t="s">
        <v>16</v>
      </c>
      <c r="K8" s="58">
        <f>COUNTIF(G5:G108,"&gt;=20")-COUNTIF(G5:G108,"&gt;30")</f>
        <v>0</v>
      </c>
      <c r="L8" s="56">
        <f>(K8/I5)*100</f>
        <v>0</v>
      </c>
      <c r="O8" s="5" t="s">
        <v>16</v>
      </c>
      <c r="P8" s="6">
        <f>COUNTIF(H5:H108,"&gt;=20")-COUNTIF(H5:H108,"&gt;30")</f>
        <v>2</v>
      </c>
      <c r="Q8" s="9">
        <f>(P8/N5)*100</f>
        <v>1.9230769230769231</v>
      </c>
    </row>
    <row r="9" spans="1:17">
      <c r="A9" s="52"/>
      <c r="B9" s="53">
        <v>99.831299000000001</v>
      </c>
      <c r="C9" s="53">
        <v>9.2149614353778639E-5</v>
      </c>
      <c r="D9" s="52">
        <f t="shared" si="0"/>
        <v>6.8824941946400006E-5</v>
      </c>
      <c r="E9" s="52">
        <f t="shared" si="1"/>
        <v>-4.0355064779639127</v>
      </c>
      <c r="F9" s="52">
        <f t="shared" si="2"/>
        <v>-4.1622541462603682</v>
      </c>
      <c r="G9" s="52">
        <f t="shared" si="4"/>
        <v>-3.0451688878809469</v>
      </c>
      <c r="H9" s="52">
        <f t="shared" si="3"/>
        <v>3.0451688878809469</v>
      </c>
      <c r="I9" s="52"/>
      <c r="J9" s="57" t="s">
        <v>17</v>
      </c>
      <c r="K9" s="58">
        <f>COUNTIF(G5:G108,"&gt;=30")-COUNTIF(G5:G108,"&gt;40")</f>
        <v>1</v>
      </c>
      <c r="L9" s="56">
        <f>(K9/I5)*100</f>
        <v>0.96153846153846156</v>
      </c>
      <c r="O9" s="5" t="s">
        <v>17</v>
      </c>
      <c r="P9" s="6">
        <f>COUNTIF(H5:H108,"&gt;=30")-COUNTIF(H5:H108,"&gt;40")</f>
        <v>1</v>
      </c>
      <c r="Q9" s="9">
        <f>(P9/N5)*100</f>
        <v>0.96153846153846156</v>
      </c>
    </row>
    <row r="10" spans="1:17" ht="14.7" thickBot="1">
      <c r="A10" s="52"/>
      <c r="B10" s="53">
        <v>40.299999999999997</v>
      </c>
      <c r="C10" s="53">
        <v>1.1991176344389076E-4</v>
      </c>
      <c r="D10" s="52">
        <f t="shared" si="0"/>
        <v>8.4684079999999996E-5</v>
      </c>
      <c r="E10" s="52">
        <f t="shared" si="1"/>
        <v>-3.921138210160759</v>
      </c>
      <c r="F10" s="52">
        <f t="shared" si="2"/>
        <v>-4.0721982262454368</v>
      </c>
      <c r="G10" s="52">
        <f t="shared" si="4"/>
        <v>-3.7095447640807753</v>
      </c>
      <c r="H10" s="52">
        <f t="shared" si="3"/>
        <v>3.7095447640807753</v>
      </c>
      <c r="I10" s="52"/>
      <c r="J10" s="59" t="s">
        <v>18</v>
      </c>
      <c r="K10" s="60">
        <f>COUNTIF(G5:G108,"&gt;=40")-COUNTIF(G5:G108,"&gt;50")</f>
        <v>1</v>
      </c>
      <c r="L10" s="56">
        <f>(K10/I5)*100</f>
        <v>0.96153846153846156</v>
      </c>
      <c r="O10" s="7" t="s">
        <v>18</v>
      </c>
      <c r="P10" s="8">
        <f>COUNTIF(H5:H108,"&gt;=40")-COUNTIF(H5:H108,"&gt;50")</f>
        <v>1</v>
      </c>
      <c r="Q10" s="9">
        <f>(P10/N5)*100</f>
        <v>0.96153846153846156</v>
      </c>
    </row>
    <row r="11" spans="1:17">
      <c r="A11" s="52"/>
      <c r="B11" s="53">
        <v>18.79</v>
      </c>
      <c r="C11" s="53">
        <v>1.1736060769450317E-4</v>
      </c>
      <c r="D11" s="52">
        <f t="shared" si="0"/>
        <v>9.0414344E-5</v>
      </c>
      <c r="E11" s="52">
        <f t="shared" si="1"/>
        <v>-3.9304776503774006</v>
      </c>
      <c r="F11" s="52">
        <f t="shared" si="2"/>
        <v>-4.0437626643711662</v>
      </c>
      <c r="G11" s="52">
        <f t="shared" si="4"/>
        <v>-2.801475343543244</v>
      </c>
      <c r="H11" s="52">
        <f t="shared" si="3"/>
        <v>2.801475343543244</v>
      </c>
      <c r="I11" s="52" t="s">
        <v>60</v>
      </c>
      <c r="J11" s="52">
        <f>AVERAGE(H5:H108)</f>
        <v>4.2998513303863684</v>
      </c>
      <c r="K11" s="52"/>
      <c r="L11" s="61"/>
    </row>
    <row r="12" spans="1:17">
      <c r="A12" s="52"/>
      <c r="B12" s="53">
        <v>37.28</v>
      </c>
      <c r="C12" s="53">
        <v>1.3358675188140598E-4</v>
      </c>
      <c r="D12" s="52">
        <f t="shared" si="0"/>
        <v>8.5488608000000002E-5</v>
      </c>
      <c r="E12" s="52">
        <f t="shared" si="1"/>
        <v>-3.8742366097503682</v>
      </c>
      <c r="F12" s="52">
        <f t="shared" si="2"/>
        <v>-4.0680917544223281</v>
      </c>
      <c r="G12" s="52">
        <f t="shared" si="4"/>
        <v>-4.7652598902476679</v>
      </c>
      <c r="H12" s="52">
        <f t="shared" si="3"/>
        <v>4.7652598902476679</v>
      </c>
      <c r="I12" s="52" t="s">
        <v>21</v>
      </c>
      <c r="J12" s="52">
        <f>MEDIAN(H5:H108)</f>
        <v>2.5373436655676649</v>
      </c>
      <c r="K12" s="52"/>
      <c r="L12" s="61"/>
    </row>
    <row r="13" spans="1:17">
      <c r="A13" s="52" t="s">
        <v>1</v>
      </c>
      <c r="B13" s="62">
        <v>86.837364489999999</v>
      </c>
      <c r="C13" s="62">
        <v>7.6654747109568725E-5</v>
      </c>
      <c r="D13" s="52">
        <f>(-0.1193*(B13)+80.123)/1000000</f>
        <v>6.9763302416343015E-5</v>
      </c>
      <c r="E13" s="52">
        <f>LOG10(C13)</f>
        <v>-4.11546094479327</v>
      </c>
      <c r="F13" s="52">
        <f>LOG10(D13)</f>
        <v>-4.156372969198654</v>
      </c>
      <c r="G13" s="52">
        <f t="shared" ref="G13:G21" si="5">((E13-F13)/F13)*100</f>
        <v>-0.98432033671106767</v>
      </c>
      <c r="H13" s="52">
        <f t="shared" si="3"/>
        <v>0.98432033671106767</v>
      </c>
      <c r="I13" s="52"/>
      <c r="J13" s="52"/>
      <c r="K13" s="52"/>
      <c r="L13" s="61"/>
    </row>
    <row r="14" spans="1:17">
      <c r="A14" s="52"/>
      <c r="B14" s="62">
        <v>164.69418300000001</v>
      </c>
      <c r="C14" s="62">
        <v>8.2688344539377339E-5</v>
      </c>
      <c r="D14" s="52">
        <f t="shared" ref="D14:D21" si="6">(-0.1193*(B14)+80.123)/1000000</f>
        <v>6.0474983968100003E-5</v>
      </c>
      <c r="E14" s="52">
        <f t="shared" ref="E14:E21" si="7">LOG10(C14)</f>
        <v>-4.0825557027687323</v>
      </c>
      <c r="F14" s="52">
        <f>LOG10(D14)</f>
        <v>-4.2184242380974037</v>
      </c>
      <c r="G14" s="52">
        <f t="shared" si="5"/>
        <v>-3.2208362094456149</v>
      </c>
      <c r="H14" s="52">
        <f t="shared" si="3"/>
        <v>3.2208362094456149</v>
      </c>
      <c r="I14" s="52"/>
      <c r="J14" s="61"/>
      <c r="K14" s="61"/>
      <c r="L14" s="61"/>
      <c r="N14" s="2"/>
      <c r="O14" s="2"/>
    </row>
    <row r="15" spans="1:17">
      <c r="A15" s="52"/>
      <c r="B15" s="62">
        <v>138.03701799999999</v>
      </c>
      <c r="C15" s="62">
        <v>1.1386930885313705E-4</v>
      </c>
      <c r="D15" s="52">
        <f t="shared" si="6"/>
        <v>6.3655183752600009E-5</v>
      </c>
      <c r="E15" s="52">
        <f t="shared" si="7"/>
        <v>-3.9435933153576319</v>
      </c>
      <c r="F15" s="52">
        <f t="shared" ref="F15:F21" si="8">LOG10(D15)</f>
        <v>-4.1961662238488007</v>
      </c>
      <c r="G15" s="52">
        <f t="shared" si="5"/>
        <v>-6.0191349679065915</v>
      </c>
      <c r="H15" s="52">
        <f t="shared" si="3"/>
        <v>6.0191349679065915</v>
      </c>
      <c r="I15" s="52"/>
      <c r="J15" s="63"/>
      <c r="K15" s="63"/>
      <c r="L15" s="61"/>
      <c r="N15" s="20"/>
      <c r="O15" s="19"/>
    </row>
    <row r="16" spans="1:17">
      <c r="A16" s="52"/>
      <c r="B16" s="62">
        <v>81.072394669999994</v>
      </c>
      <c r="C16" s="62">
        <v>4.2709552348582807E-5</v>
      </c>
      <c r="D16" s="52">
        <f t="shared" si="6"/>
        <v>7.0451063315869007E-5</v>
      </c>
      <c r="E16" s="52">
        <f t="shared" si="7"/>
        <v>-4.3694749805178992</v>
      </c>
      <c r="F16" s="52">
        <f t="shared" si="8"/>
        <v>-4.1521124477110547</v>
      </c>
      <c r="G16" s="52">
        <f t="shared" si="5"/>
        <v>5.2349866614684402</v>
      </c>
      <c r="H16" s="52">
        <f t="shared" si="3"/>
        <v>5.2349866614684402</v>
      </c>
      <c r="I16" s="52"/>
      <c r="J16" s="63"/>
      <c r="K16" s="63"/>
      <c r="L16" s="61"/>
      <c r="N16" s="20"/>
      <c r="O16" s="19"/>
    </row>
    <row r="17" spans="1:15">
      <c r="A17" s="52"/>
      <c r="B17" s="62">
        <v>104.43296100000001</v>
      </c>
      <c r="C17" s="62">
        <v>8.9158650655706779E-5</v>
      </c>
      <c r="D17" s="52">
        <f t="shared" si="6"/>
        <v>6.7664147752700003E-5</v>
      </c>
      <c r="E17" s="52">
        <f t="shared" si="7"/>
        <v>-4.0498365128388967</v>
      </c>
      <c r="F17" s="52">
        <f t="shared" si="8"/>
        <v>-4.1696413838625768</v>
      </c>
      <c r="G17" s="52">
        <f t="shared" si="5"/>
        <v>-2.8732655879556241</v>
      </c>
      <c r="H17" s="52">
        <f t="shared" si="3"/>
        <v>2.8732655879556241</v>
      </c>
      <c r="I17" s="52"/>
      <c r="J17" s="63"/>
      <c r="K17" s="63"/>
      <c r="L17" s="52"/>
      <c r="N17" s="20"/>
      <c r="O17" s="19"/>
    </row>
    <row r="18" spans="1:15">
      <c r="A18" s="52"/>
      <c r="B18" s="62">
        <v>265.22000000000003</v>
      </c>
      <c r="C18" s="62">
        <v>4.1607861192018153E-5</v>
      </c>
      <c r="D18" s="52">
        <f t="shared" si="6"/>
        <v>4.8482253999999996E-5</v>
      </c>
      <c r="E18" s="52">
        <f t="shared" si="7"/>
        <v>-4.3808246080805882</v>
      </c>
      <c r="F18" s="52">
        <f t="shared" si="8"/>
        <v>-4.3144171974843708</v>
      </c>
      <c r="G18" s="52">
        <f t="shared" si="5"/>
        <v>1.5391977075127983</v>
      </c>
      <c r="H18" s="52">
        <f t="shared" si="3"/>
        <v>1.5391977075127983</v>
      </c>
      <c r="I18" s="52"/>
      <c r="J18" s="63"/>
      <c r="K18" s="63"/>
      <c r="L18" s="52"/>
      <c r="N18" s="20"/>
      <c r="O18" s="19"/>
    </row>
    <row r="19" spans="1:15">
      <c r="A19" s="52"/>
      <c r="B19" s="62">
        <v>153.41999999999999</v>
      </c>
      <c r="C19" s="62">
        <v>2.117026055705301E-5</v>
      </c>
      <c r="D19" s="52">
        <f t="shared" si="6"/>
        <v>6.1819994000000011E-5</v>
      </c>
      <c r="E19" s="52">
        <f t="shared" si="7"/>
        <v>-4.6742737967848402</v>
      </c>
      <c r="F19" s="52">
        <f t="shared" si="8"/>
        <v>-4.2088710414235875</v>
      </c>
      <c r="G19" s="52">
        <f t="shared" si="5"/>
        <v>11.057662512839482</v>
      </c>
      <c r="H19" s="52">
        <f t="shared" si="3"/>
        <v>11.057662512839482</v>
      </c>
      <c r="I19" s="52"/>
      <c r="J19" s="64"/>
      <c r="K19" s="63"/>
      <c r="L19" s="52"/>
      <c r="N19" s="21"/>
      <c r="O19" s="19"/>
    </row>
    <row r="20" spans="1:15">
      <c r="A20" s="52"/>
      <c r="B20" s="62">
        <v>153.78</v>
      </c>
      <c r="C20" s="62">
        <v>2.3253689067568185E-5</v>
      </c>
      <c r="D20" s="52">
        <f t="shared" si="6"/>
        <v>6.1777046000000008E-5</v>
      </c>
      <c r="E20" s="52">
        <f t="shared" si="7"/>
        <v>-4.6335081389204316</v>
      </c>
      <c r="F20" s="52">
        <f t="shared" si="8"/>
        <v>-4.209172862246473</v>
      </c>
      <c r="G20" s="52">
        <f t="shared" si="5"/>
        <v>10.081203375607792</v>
      </c>
      <c r="H20" s="52">
        <f t="shared" si="3"/>
        <v>10.081203375607792</v>
      </c>
      <c r="I20" s="52"/>
      <c r="J20" s="64"/>
      <c r="K20" s="63"/>
      <c r="L20" s="52"/>
      <c r="N20" s="21"/>
      <c r="O20" s="19"/>
    </row>
    <row r="21" spans="1:15">
      <c r="A21" s="52"/>
      <c r="B21" s="62">
        <v>215.58099999999999</v>
      </c>
      <c r="C21" s="62">
        <v>6.7442059571760471E-5</v>
      </c>
      <c r="D21" s="52">
        <f t="shared" si="6"/>
        <v>5.4404186700000006E-5</v>
      </c>
      <c r="E21" s="52">
        <f t="shared" si="7"/>
        <v>-4.1710691755275482</v>
      </c>
      <c r="F21" s="52">
        <f t="shared" si="8"/>
        <v>-4.2643676776778676</v>
      </c>
      <c r="G21" s="52">
        <f t="shared" si="5"/>
        <v>-2.1878625203613891</v>
      </c>
      <c r="H21" s="52">
        <f t="shared" si="3"/>
        <v>2.1878625203613891</v>
      </c>
      <c r="I21" s="52"/>
      <c r="J21" s="64"/>
      <c r="K21" s="63"/>
      <c r="L21" s="52"/>
      <c r="N21" s="21"/>
      <c r="O21" s="19"/>
    </row>
    <row r="22" spans="1:15">
      <c r="A22" s="52" t="s">
        <v>2</v>
      </c>
      <c r="B22" s="65">
        <v>41.683446230000001</v>
      </c>
      <c r="C22" s="65">
        <v>3.7471479425093239E-4</v>
      </c>
      <c r="D22" s="52">
        <f>(17.365*(B22)-325.13)/1000000</f>
        <v>3.9870304378394997E-4</v>
      </c>
      <c r="E22" s="52">
        <f t="shared" ref="E22:E26" si="9">LOG10(C22)</f>
        <v>-3.4262991600294819</v>
      </c>
      <c r="F22" s="52">
        <f t="shared" ref="F22:F26" si="10">LOG10(D22)</f>
        <v>-3.3993504488283812</v>
      </c>
      <c r="G22" s="52">
        <f t="shared" ref="G22:G26" si="11">((E22-F22)/F22)*100</f>
        <v>0.79276060549711147</v>
      </c>
      <c r="H22" s="52">
        <f t="shared" si="3"/>
        <v>0.79276060549711147</v>
      </c>
      <c r="I22" s="52"/>
      <c r="J22" s="64"/>
      <c r="K22" s="63"/>
      <c r="L22" s="52"/>
      <c r="N22" s="21"/>
      <c r="O22" s="19"/>
    </row>
    <row r="23" spans="1:15">
      <c r="A23" s="52"/>
      <c r="B23" s="65">
        <v>46.633232</v>
      </c>
      <c r="C23" s="65">
        <v>4.4571665082961717E-4</v>
      </c>
      <c r="D23" s="52">
        <f t="shared" ref="D23:D26" si="12">(17.365*(B23)-325.13)/1000000</f>
        <v>4.8465607367999996E-4</v>
      </c>
      <c r="E23" s="52">
        <f t="shared" si="9"/>
        <v>-3.3509411414840558</v>
      </c>
      <c r="F23" s="52">
        <f t="shared" si="10"/>
        <v>-3.3145663403409311</v>
      </c>
      <c r="G23" s="52">
        <f t="shared" si="11"/>
        <v>1.0974226311422441</v>
      </c>
      <c r="H23" s="52">
        <f t="shared" si="3"/>
        <v>1.0974226311422441</v>
      </c>
      <c r="I23" s="52"/>
      <c r="J23" s="52"/>
      <c r="K23" s="63"/>
      <c r="L23" s="52"/>
      <c r="O23" s="19"/>
    </row>
    <row r="24" spans="1:15">
      <c r="A24" s="52"/>
      <c r="B24" s="65">
        <v>63.051464000000003</v>
      </c>
      <c r="C24" s="65">
        <v>8.0307047200941725E-4</v>
      </c>
      <c r="D24" s="52">
        <f t="shared" si="12"/>
        <v>7.6975867235999987E-4</v>
      </c>
      <c r="E24" s="52">
        <f t="shared" si="9"/>
        <v>-3.0952463423154546</v>
      </c>
      <c r="F24" s="52">
        <f t="shared" si="10"/>
        <v>-3.113645409489556</v>
      </c>
      <c r="G24" s="52">
        <f t="shared" si="11"/>
        <v>-0.59091722898265886</v>
      </c>
      <c r="H24" s="52">
        <f t="shared" si="3"/>
        <v>0.59091722898265886</v>
      </c>
      <c r="I24" s="52"/>
      <c r="J24" s="52"/>
      <c r="K24" s="63"/>
      <c r="L24" s="52"/>
      <c r="O24" s="19"/>
    </row>
    <row r="25" spans="1:15">
      <c r="A25" s="52"/>
      <c r="B25" s="65">
        <v>24.3651768</v>
      </c>
      <c r="C25" s="65">
        <v>1.0287887388990983E-4</v>
      </c>
      <c r="D25" s="52">
        <f t="shared" si="12"/>
        <v>9.7971295131999962E-5</v>
      </c>
      <c r="E25" s="52">
        <f t="shared" si="9"/>
        <v>-3.9876737981725241</v>
      </c>
      <c r="F25" s="52">
        <f t="shared" si="10"/>
        <v>-4.0089011507552046</v>
      </c>
      <c r="G25" s="52">
        <f t="shared" si="11"/>
        <v>-0.52950551246896271</v>
      </c>
      <c r="H25" s="52">
        <f t="shared" si="3"/>
        <v>0.52950551246896271</v>
      </c>
      <c r="I25" s="52"/>
      <c r="J25" s="52"/>
      <c r="K25" s="63"/>
      <c r="L25" s="52"/>
      <c r="O25" s="19"/>
    </row>
    <row r="26" spans="1:15">
      <c r="A26" s="52"/>
      <c r="B26" s="65">
        <v>24.187605000000001</v>
      </c>
      <c r="C26" s="65">
        <v>1.1967928935617717E-4</v>
      </c>
      <c r="D26" s="52">
        <f t="shared" si="12"/>
        <v>9.4887760824999981E-5</v>
      </c>
      <c r="E26" s="52">
        <f t="shared" si="9"/>
        <v>-3.9219809982697806</v>
      </c>
      <c r="F26" s="52">
        <f t="shared" si="10"/>
        <v>-4.0227898017872157</v>
      </c>
      <c r="G26" s="52">
        <f t="shared" si="11"/>
        <v>-2.5059426041263313</v>
      </c>
      <c r="H26" s="52">
        <f t="shared" si="3"/>
        <v>2.5059426041263313</v>
      </c>
      <c r="I26" s="52"/>
      <c r="J26" s="52"/>
      <c r="K26" s="63"/>
      <c r="L26" s="52"/>
      <c r="O26" s="19"/>
    </row>
    <row r="27" spans="1:15">
      <c r="A27" s="52" t="s">
        <v>59</v>
      </c>
      <c r="B27" s="66">
        <v>6.71872705</v>
      </c>
      <c r="C27" s="66">
        <v>1.6624581072823896E-5</v>
      </c>
      <c r="D27" s="52">
        <f>(0.2686*(B27)+16.986)/1000000</f>
        <v>1.8790650085630002E-5</v>
      </c>
      <c r="E27" s="52">
        <f t="shared" ref="E27:E35" si="13">LOG10(C27)</f>
        <v>-4.7792492897874581</v>
      </c>
      <c r="F27" s="52">
        <f t="shared" ref="F27:F35" si="14">LOG10(D27)</f>
        <v>-4.7260581946882949</v>
      </c>
      <c r="G27" s="52">
        <f t="shared" ref="G27:G35" si="15">((E27-F27)/F27)*100</f>
        <v>1.125485402590803</v>
      </c>
      <c r="H27" s="52">
        <f t="shared" si="3"/>
        <v>1.125485402590803</v>
      </c>
      <c r="I27" s="52"/>
      <c r="J27" s="52"/>
      <c r="K27" s="63"/>
      <c r="L27" s="52"/>
      <c r="O27" s="19"/>
    </row>
    <row r="28" spans="1:15">
      <c r="A28" s="52"/>
      <c r="B28" s="66">
        <v>11.750446</v>
      </c>
      <c r="C28" s="66">
        <v>2.0599941037735851E-5</v>
      </c>
      <c r="D28" s="52">
        <f t="shared" ref="D28:D35" si="16">(0.2686*(B28)+16.986)/1000000</f>
        <v>2.0142169795600002E-5</v>
      </c>
      <c r="E28" s="52">
        <f t="shared" si="13"/>
        <v>-4.6861340226901964</v>
      </c>
      <c r="F28" s="52">
        <f t="shared" si="14"/>
        <v>-4.6958937473127724</v>
      </c>
      <c r="G28" s="52">
        <f t="shared" si="15"/>
        <v>-0.20783529499918993</v>
      </c>
      <c r="H28" s="52">
        <f t="shared" si="3"/>
        <v>0.20783529499918993</v>
      </c>
      <c r="I28" s="52"/>
      <c r="J28" s="52"/>
      <c r="K28" s="63"/>
      <c r="L28" s="52"/>
      <c r="N28" s="20"/>
      <c r="O28" s="19"/>
    </row>
    <row r="29" spans="1:15">
      <c r="A29" s="52"/>
      <c r="B29" s="66">
        <v>20.492654999999999</v>
      </c>
      <c r="C29" s="66">
        <v>2.7898726011933555E-5</v>
      </c>
      <c r="D29" s="52">
        <f t="shared" si="16"/>
        <v>2.2490327133E-5</v>
      </c>
      <c r="E29" s="52">
        <f t="shared" si="13"/>
        <v>-4.5544156282181554</v>
      </c>
      <c r="F29" s="52">
        <f t="shared" si="14"/>
        <v>-4.6480042274890678</v>
      </c>
      <c r="G29" s="52">
        <f t="shared" si="15"/>
        <v>-2.0135222493433624</v>
      </c>
      <c r="H29" s="52">
        <f t="shared" si="3"/>
        <v>2.0135222493433624</v>
      </c>
      <c r="I29" s="52"/>
      <c r="J29" s="52"/>
      <c r="K29" s="63"/>
      <c r="L29" s="52"/>
    </row>
    <row r="30" spans="1:15">
      <c r="A30" s="52"/>
      <c r="B30" s="66">
        <v>7.0773495400000002</v>
      </c>
      <c r="C30" s="66">
        <v>1.033740619240545E-5</v>
      </c>
      <c r="D30" s="52">
        <f t="shared" si="16"/>
        <v>1.8886976086444E-5</v>
      </c>
      <c r="E30" s="52">
        <f t="shared" si="13"/>
        <v>-4.9855884184604875</v>
      </c>
      <c r="F30" s="52">
        <f t="shared" si="14"/>
        <v>-4.7238375695581283</v>
      </c>
      <c r="G30" s="52">
        <f t="shared" si="15"/>
        <v>5.5410637018758377</v>
      </c>
      <c r="H30" s="52">
        <f t="shared" si="3"/>
        <v>5.5410637018758377</v>
      </c>
      <c r="I30" s="52"/>
      <c r="J30" s="52"/>
      <c r="K30" s="63"/>
      <c r="L30" s="52"/>
    </row>
    <row r="31" spans="1:15">
      <c r="A31" s="52"/>
      <c r="B31" s="66">
        <v>16.551247</v>
      </c>
      <c r="C31" s="66">
        <v>2.2228738852501202E-5</v>
      </c>
      <c r="D31" s="52">
        <f t="shared" si="16"/>
        <v>2.1431664944200001E-5</v>
      </c>
      <c r="E31" s="52">
        <f t="shared" si="13"/>
        <v>-4.6530851762995002</v>
      </c>
      <c r="F31" s="52">
        <f t="shared" si="14"/>
        <v>-4.6689440889679004</v>
      </c>
      <c r="G31" s="52">
        <f t="shared" si="15"/>
        <v>-0.33966807839641167</v>
      </c>
      <c r="H31" s="52">
        <f t="shared" si="3"/>
        <v>0.33966807839641167</v>
      </c>
      <c r="I31" s="52"/>
      <c r="J31" s="52"/>
      <c r="K31" s="63"/>
      <c r="L31" s="52"/>
    </row>
    <row r="32" spans="1:15">
      <c r="A32" s="52"/>
      <c r="B32" s="66">
        <v>23.82</v>
      </c>
      <c r="C32" s="66">
        <v>1.3496528021322857E-5</v>
      </c>
      <c r="D32" s="52">
        <f t="shared" si="16"/>
        <v>2.3384052000000001E-5</v>
      </c>
      <c r="E32" s="52">
        <f t="shared" si="13"/>
        <v>-4.8697779392911134</v>
      </c>
      <c r="F32" s="52">
        <f t="shared" si="14"/>
        <v>-4.6310802318924971</v>
      </c>
      <c r="G32" s="52">
        <f t="shared" si="15"/>
        <v>5.1542554964778091</v>
      </c>
      <c r="H32" s="52">
        <f t="shared" si="3"/>
        <v>5.1542554964778091</v>
      </c>
      <c r="I32" s="52"/>
      <c r="J32" s="52"/>
      <c r="K32" s="63"/>
      <c r="L32" s="52"/>
    </row>
    <row r="33" spans="1:12">
      <c r="A33" s="52"/>
      <c r="B33" s="66">
        <v>80.790000000000006</v>
      </c>
      <c r="C33" s="66">
        <v>2.919056812875075E-5</v>
      </c>
      <c r="D33" s="52">
        <f t="shared" si="16"/>
        <v>3.8686193999999999E-5</v>
      </c>
      <c r="E33" s="52">
        <f t="shared" si="13"/>
        <v>-4.5347574523644907</v>
      </c>
      <c r="F33" s="52">
        <f t="shared" si="14"/>
        <v>-4.412443994654665</v>
      </c>
      <c r="G33" s="52">
        <f t="shared" si="15"/>
        <v>2.7720115622543657</v>
      </c>
      <c r="H33" s="52">
        <f t="shared" si="3"/>
        <v>2.7720115622543657</v>
      </c>
      <c r="I33" s="52"/>
      <c r="J33" s="52"/>
      <c r="K33" s="63"/>
      <c r="L33" s="52"/>
    </row>
    <row r="34" spans="1:12">
      <c r="A34" s="52"/>
      <c r="B34" s="66">
        <v>39.92</v>
      </c>
      <c r="C34" s="66">
        <v>3.4695150475596446E-5</v>
      </c>
      <c r="D34" s="52">
        <f t="shared" si="16"/>
        <v>2.7708512E-5</v>
      </c>
      <c r="E34" s="52">
        <f t="shared" si="13"/>
        <v>-4.4597312246002891</v>
      </c>
      <c r="F34" s="52">
        <f t="shared" si="14"/>
        <v>-4.5573867960344643</v>
      </c>
      <c r="G34" s="52">
        <f t="shared" si="15"/>
        <v>-2.1427975242116499</v>
      </c>
      <c r="H34" s="52">
        <f t="shared" si="3"/>
        <v>2.1427975242116499</v>
      </c>
      <c r="I34" s="52"/>
      <c r="J34" s="52"/>
      <c r="K34" s="63"/>
      <c r="L34" s="52"/>
    </row>
    <row r="35" spans="1:12">
      <c r="A35" s="52"/>
      <c r="B35" s="66">
        <v>40.698</v>
      </c>
      <c r="C35" s="66">
        <v>4.4362942548229813E-5</v>
      </c>
      <c r="D35" s="52">
        <f t="shared" si="16"/>
        <v>2.7917482800000002E-5</v>
      </c>
      <c r="E35" s="52">
        <f t="shared" si="13"/>
        <v>-4.3529796552623718</v>
      </c>
      <c r="F35" s="52">
        <f t="shared" si="14"/>
        <v>-4.5541237427592351</v>
      </c>
      <c r="G35" s="52">
        <f t="shared" si="15"/>
        <v>-4.4167462031893514</v>
      </c>
      <c r="H35" s="52">
        <f t="shared" si="3"/>
        <v>4.4167462031893514</v>
      </c>
      <c r="I35" s="52"/>
      <c r="J35" s="52"/>
      <c r="K35" s="63"/>
      <c r="L35" s="52"/>
    </row>
    <row r="36" spans="1:12">
      <c r="A36" s="52" t="s">
        <v>3</v>
      </c>
      <c r="B36" s="67">
        <v>5.4426651499999998</v>
      </c>
      <c r="C36" s="67">
        <v>4.5795755206814305E-5</v>
      </c>
      <c r="D36" s="52">
        <f>(-0.0329*(B36)+59.337)/1000000</f>
        <v>5.9157936316565008E-5</v>
      </c>
      <c r="E36" s="52">
        <f t="shared" ref="E36:E45" si="17">LOG10(C36)</f>
        <v>-4.3391747747404752</v>
      </c>
      <c r="F36" s="52">
        <f t="shared" ref="F36:F45" si="18">LOG10(D36)</f>
        <v>-4.227986984471638</v>
      </c>
      <c r="G36" s="52">
        <f t="shared" ref="G36:G45" si="19">((E36-F36)/F36)*100</f>
        <v>2.6298044595975045</v>
      </c>
      <c r="H36" s="52">
        <f t="shared" si="3"/>
        <v>2.6298044595975045</v>
      </c>
      <c r="I36" s="52"/>
      <c r="J36" s="52"/>
      <c r="K36" s="63"/>
      <c r="L36" s="52"/>
    </row>
    <row r="37" spans="1:12">
      <c r="A37" s="52"/>
      <c r="B37" s="67">
        <v>11.112717</v>
      </c>
      <c r="C37" s="67">
        <v>2.0169080285156225E-5</v>
      </c>
      <c r="D37" s="52">
        <f t="shared" ref="D37:D45" si="20">(-0.0329*(B37)+59.337)/1000000</f>
        <v>5.8971391610700006E-5</v>
      </c>
      <c r="E37" s="52">
        <f t="shared" si="17"/>
        <v>-4.6953139052670769</v>
      </c>
      <c r="F37" s="52">
        <f t="shared" si="18"/>
        <v>-4.2293586235920939</v>
      </c>
      <c r="G37" s="52">
        <f t="shared" si="19"/>
        <v>11.017161776629768</v>
      </c>
      <c r="H37" s="52">
        <f t="shared" si="3"/>
        <v>11.017161776629768</v>
      </c>
      <c r="I37" s="52"/>
      <c r="J37" s="52"/>
      <c r="K37" s="63"/>
      <c r="L37" s="52"/>
    </row>
    <row r="38" spans="1:12">
      <c r="A38" s="52"/>
      <c r="B38" s="67">
        <v>7.0308080000000004</v>
      </c>
      <c r="C38" s="67">
        <v>1.5232833615245629E-4</v>
      </c>
      <c r="D38" s="52">
        <f t="shared" si="20"/>
        <v>5.9105686416800004E-5</v>
      </c>
      <c r="E38" s="52">
        <f t="shared" si="17"/>
        <v>-3.8172193015886138</v>
      </c>
      <c r="F38" s="52">
        <f t="shared" si="18"/>
        <v>-4.2283707346747841</v>
      </c>
      <c r="G38" s="52">
        <f t="shared" si="19"/>
        <v>-9.7236372798279032</v>
      </c>
      <c r="H38" s="52">
        <f t="shared" si="3"/>
        <v>9.7236372798279032</v>
      </c>
      <c r="I38" s="52"/>
      <c r="J38" s="52"/>
      <c r="K38" s="63"/>
      <c r="L38" s="52"/>
    </row>
    <row r="39" spans="1:12">
      <c r="A39" s="52"/>
      <c r="B39" s="67">
        <v>5.2517339300000003</v>
      </c>
      <c r="C39" s="67">
        <v>4.1635838420391941E-5</v>
      </c>
      <c r="D39" s="52">
        <f t="shared" si="20"/>
        <v>5.9164217953703003E-5</v>
      </c>
      <c r="E39" s="52">
        <f t="shared" si="17"/>
        <v>-4.3805326855347202</v>
      </c>
      <c r="F39" s="52">
        <f t="shared" si="18"/>
        <v>-4.2279408717150577</v>
      </c>
      <c r="G39" s="52">
        <f t="shared" si="19"/>
        <v>3.6091283783201025</v>
      </c>
      <c r="H39" s="52">
        <f t="shared" si="3"/>
        <v>3.6091283783201025</v>
      </c>
      <c r="I39" s="52"/>
      <c r="J39" s="52"/>
      <c r="K39" s="63"/>
      <c r="L39" s="52"/>
    </row>
    <row r="40" spans="1:12">
      <c r="A40" s="52"/>
      <c r="B40" s="67">
        <v>16.233042000000001</v>
      </c>
      <c r="C40" s="67">
        <v>5.6359992826291035E-5</v>
      </c>
      <c r="D40" s="52">
        <f t="shared" si="20"/>
        <v>5.8802932918199998E-5</v>
      </c>
      <c r="E40" s="52">
        <f t="shared" si="17"/>
        <v>-4.2490290708412903</v>
      </c>
      <c r="F40" s="52">
        <f t="shared" si="18"/>
        <v>-4.2306010120459003</v>
      </c>
      <c r="G40" s="52">
        <f t="shared" si="19"/>
        <v>0.43558961818709235</v>
      </c>
      <c r="H40" s="52">
        <f t="shared" si="3"/>
        <v>0.43558961818709235</v>
      </c>
      <c r="I40" s="52"/>
      <c r="J40" s="52"/>
      <c r="K40" s="63"/>
      <c r="L40" s="52"/>
    </row>
    <row r="41" spans="1:12">
      <c r="A41" s="52"/>
      <c r="B41" s="67">
        <v>28.85</v>
      </c>
      <c r="C41" s="67">
        <v>2.6504941599281221E-5</v>
      </c>
      <c r="D41" s="52">
        <f t="shared" si="20"/>
        <v>5.8387834999999999E-5</v>
      </c>
      <c r="E41" s="52">
        <f t="shared" si="17"/>
        <v>-4.5766731483565453</v>
      </c>
      <c r="F41" s="52">
        <f t="shared" si="18"/>
        <v>-4.2336776279339352</v>
      </c>
      <c r="G41" s="52">
        <f t="shared" si="19"/>
        <v>8.1015974896037211</v>
      </c>
      <c r="H41" s="52">
        <f t="shared" si="3"/>
        <v>8.1015974896037211</v>
      </c>
      <c r="I41" s="52"/>
      <c r="J41" s="52"/>
      <c r="K41" s="63"/>
      <c r="L41" s="52"/>
    </row>
    <row r="42" spans="1:12">
      <c r="A42" s="52"/>
      <c r="B42" s="67">
        <v>87.05</v>
      </c>
      <c r="C42" s="67">
        <v>5.858944778963109E-5</v>
      </c>
      <c r="D42" s="52">
        <f t="shared" si="20"/>
        <v>5.6473055000000003E-5</v>
      </c>
      <c r="E42" s="52">
        <f t="shared" si="17"/>
        <v>-4.23218059523444</v>
      </c>
      <c r="F42" s="52">
        <f t="shared" si="18"/>
        <v>-4.2481587177748139</v>
      </c>
      <c r="G42" s="52">
        <f t="shared" si="19"/>
        <v>-0.37611877525949028</v>
      </c>
      <c r="H42" s="52">
        <f t="shared" si="3"/>
        <v>0.37611877525949028</v>
      </c>
      <c r="I42" s="52"/>
      <c r="J42" s="52"/>
      <c r="K42" s="63"/>
      <c r="L42" s="52"/>
    </row>
    <row r="43" spans="1:12">
      <c r="A43" s="52"/>
      <c r="B43" s="67">
        <v>77.400000000000006</v>
      </c>
      <c r="C43" s="67">
        <v>6.5977067281441481E-5</v>
      </c>
      <c r="D43" s="52">
        <f t="shared" si="20"/>
        <v>5.6790540000000001E-5</v>
      </c>
      <c r="E43" s="52">
        <f t="shared" si="17"/>
        <v>-4.1806069930009517</v>
      </c>
      <c r="F43" s="52">
        <f t="shared" si="18"/>
        <v>-4.2457240017531452</v>
      </c>
      <c r="G43" s="52">
        <f t="shared" si="19"/>
        <v>-1.5337080018697724</v>
      </c>
      <c r="H43" s="52">
        <f t="shared" si="3"/>
        <v>1.5337080018697724</v>
      </c>
      <c r="I43" s="52"/>
      <c r="J43" s="52"/>
      <c r="K43" s="63"/>
      <c r="L43" s="52"/>
    </row>
    <row r="44" spans="1:12">
      <c r="A44" s="52"/>
      <c r="B44" s="67">
        <v>45.86</v>
      </c>
      <c r="C44" s="67">
        <v>5.5973555670168503E-5</v>
      </c>
      <c r="D44" s="52">
        <f t="shared" si="20"/>
        <v>5.7828205999999999E-5</v>
      </c>
      <c r="E44" s="52">
        <f t="shared" si="17"/>
        <v>-4.2520171040476136</v>
      </c>
      <c r="F44" s="52">
        <f t="shared" si="18"/>
        <v>-4.2378602805718293</v>
      </c>
      <c r="G44" s="52">
        <f t="shared" si="19"/>
        <v>0.33405592772100684</v>
      </c>
      <c r="H44" s="52">
        <f t="shared" si="3"/>
        <v>0.33405592772100684</v>
      </c>
      <c r="I44" s="52"/>
      <c r="J44" s="52"/>
      <c r="K44" s="63"/>
      <c r="L44" s="52"/>
    </row>
    <row r="45" spans="1:12">
      <c r="A45" s="52"/>
      <c r="B45" s="67">
        <v>66.611000000000004</v>
      </c>
      <c r="C45" s="67">
        <v>5.850176018281197E-5</v>
      </c>
      <c r="D45" s="52">
        <f t="shared" si="20"/>
        <v>5.7145498100000003E-5</v>
      </c>
      <c r="E45" s="52">
        <f t="shared" si="17"/>
        <v>-4.2328310668035938</v>
      </c>
      <c r="F45" s="52">
        <f t="shared" si="18"/>
        <v>-4.2430179774706076</v>
      </c>
      <c r="G45" s="52">
        <f t="shared" si="19"/>
        <v>-0.24008643661431184</v>
      </c>
      <c r="H45" s="52">
        <f t="shared" si="3"/>
        <v>0.24008643661431184</v>
      </c>
      <c r="I45" s="52"/>
      <c r="J45" s="52"/>
      <c r="K45" s="63"/>
      <c r="L45" s="52"/>
    </row>
    <row r="46" spans="1:12">
      <c r="A46" s="52" t="s">
        <v>4</v>
      </c>
      <c r="B46" s="52">
        <v>10.728151739999999</v>
      </c>
      <c r="C46" s="52">
        <v>6.68334527437976E-5</v>
      </c>
      <c r="D46" s="52">
        <f>(14.515*(B46)-109.75)/1000000</f>
        <v>4.5969122506100004E-5</v>
      </c>
      <c r="E46" s="52">
        <f t="shared" ref="E46:E50" si="21">LOG10(C46)</f>
        <v>-4.1750061018144429</v>
      </c>
      <c r="F46" s="52">
        <f t="shared" ref="F46:F50" si="22">LOG10(D46)</f>
        <v>-4.3375337863170369</v>
      </c>
      <c r="G46" s="52">
        <f t="shared" ref="G46:G50" si="23">((E46-F46)/F46)*100</f>
        <v>-3.7470067671932741</v>
      </c>
      <c r="H46" s="52">
        <f t="shared" si="3"/>
        <v>3.7470067671932741</v>
      </c>
      <c r="I46" s="52"/>
      <c r="J46" s="52"/>
      <c r="K46" s="63"/>
      <c r="L46" s="52"/>
    </row>
    <row r="47" spans="1:12">
      <c r="A47" s="52"/>
      <c r="B47" s="52">
        <v>10.469856</v>
      </c>
      <c r="C47" s="52">
        <v>8.9335261632821173E-5</v>
      </c>
      <c r="D47" s="52">
        <f t="shared" ref="D47:D50" si="24">(14.515*(B47)-109.75)/1000000</f>
        <v>4.2219959839999999E-5</v>
      </c>
      <c r="E47" s="52">
        <f t="shared" si="21"/>
        <v>-4.0489770863536858</v>
      </c>
      <c r="F47" s="52">
        <f t="shared" si="22"/>
        <v>-4.3744821841329262</v>
      </c>
      <c r="G47" s="52">
        <f t="shared" si="23"/>
        <v>-7.4409972215662217</v>
      </c>
      <c r="H47" s="52">
        <f t="shared" si="3"/>
        <v>7.4409972215662217</v>
      </c>
      <c r="I47" s="52"/>
      <c r="J47" s="52"/>
      <c r="K47" s="63"/>
      <c r="L47" s="52"/>
    </row>
    <row r="48" spans="1:12">
      <c r="A48" s="52"/>
      <c r="B48" s="52">
        <v>9.8721720000000008</v>
      </c>
      <c r="C48" s="52">
        <v>1.1163491545667487E-6</v>
      </c>
      <c r="D48" s="52">
        <f t="shared" si="24"/>
        <v>3.3544576580000008E-5</v>
      </c>
      <c r="E48" s="52">
        <f t="shared" si="21"/>
        <v>-5.9521999521851585</v>
      </c>
      <c r="F48" s="52">
        <f t="shared" si="22"/>
        <v>-4.474377685681989</v>
      </c>
      <c r="G48" s="52">
        <f t="shared" si="23"/>
        <v>33.028554367062071</v>
      </c>
      <c r="H48" s="52">
        <f t="shared" si="3"/>
        <v>33.028554367062071</v>
      </c>
      <c r="I48" s="52"/>
      <c r="J48" s="63"/>
      <c r="K48" s="63"/>
      <c r="L48" s="52"/>
    </row>
    <row r="49" spans="1:12">
      <c r="A49" s="52"/>
      <c r="B49" s="52">
        <v>15.793355050000001</v>
      </c>
      <c r="C49" s="52">
        <v>5.6665382336086497E-5</v>
      </c>
      <c r="D49" s="52">
        <f t="shared" si="24"/>
        <v>1.1949054855075003E-4</v>
      </c>
      <c r="E49" s="52">
        <f t="shared" si="21"/>
        <v>-4.2466821765885339</v>
      </c>
      <c r="F49" s="52">
        <f t="shared" si="22"/>
        <v>-3.922666445130806</v>
      </c>
      <c r="G49" s="52">
        <f t="shared" si="23"/>
        <v>8.2600887939357595</v>
      </c>
      <c r="H49" s="52">
        <f t="shared" si="3"/>
        <v>8.2600887939357595</v>
      </c>
      <c r="I49" s="52"/>
      <c r="J49" s="52"/>
      <c r="K49" s="52"/>
      <c r="L49" s="52"/>
    </row>
    <row r="50" spans="1:12">
      <c r="A50" s="52"/>
      <c r="B50" s="52">
        <v>21.82254</v>
      </c>
      <c r="C50" s="52">
        <v>2.3428003623343901E-4</v>
      </c>
      <c r="D50" s="52">
        <f t="shared" si="24"/>
        <v>2.0700416810000001E-4</v>
      </c>
      <c r="E50" s="52">
        <f t="shared" si="21"/>
        <v>-3.6302647174766651</v>
      </c>
      <c r="F50" s="52">
        <f t="shared" si="22"/>
        <v>-3.6840209097865335</v>
      </c>
      <c r="G50" s="52">
        <f t="shared" si="23"/>
        <v>-1.4591717481045252</v>
      </c>
      <c r="H50" s="52">
        <f t="shared" si="3"/>
        <v>1.4591717481045252</v>
      </c>
      <c r="I50" s="52"/>
      <c r="J50" s="52"/>
      <c r="K50" s="52"/>
      <c r="L50" s="52"/>
    </row>
    <row r="51" spans="1:12">
      <c r="A51" s="52" t="s">
        <v>5</v>
      </c>
      <c r="B51" s="68">
        <v>20.90940535</v>
      </c>
      <c r="C51" s="52">
        <v>1.5919353300449066E-4</v>
      </c>
      <c r="D51" s="52">
        <f>(-0.8186*(B51)+124.49)/1000000</f>
        <v>1.0737356078049E-4</v>
      </c>
      <c r="E51" s="52">
        <f t="shared" ref="E51:E56" si="25">LOG10(C51)</f>
        <v>-3.7980745787937682</v>
      </c>
      <c r="F51" s="52">
        <f t="shared" ref="F51:F56" si="26">LOG10(D51)</f>
        <v>-3.9691026443414272</v>
      </c>
      <c r="G51" s="52">
        <f t="shared" ref="G51:G56" si="27">((E51-F51)/F51)*100</f>
        <v>-4.3089857046525646</v>
      </c>
      <c r="H51" s="52">
        <f t="shared" si="3"/>
        <v>4.3089857046525646</v>
      </c>
      <c r="I51" s="52"/>
      <c r="J51" s="52"/>
      <c r="K51" s="52"/>
      <c r="L51" s="52"/>
    </row>
    <row r="52" spans="1:12">
      <c r="A52" s="52"/>
      <c r="B52" s="68">
        <v>19.614048</v>
      </c>
      <c r="C52" s="52">
        <v>1.6048965596106524E-4</v>
      </c>
      <c r="D52" s="52">
        <f t="shared" ref="D52:D56" si="28">(-0.8186*(B52)+124.49)/1000000</f>
        <v>1.0843394030719999E-4</v>
      </c>
      <c r="E52" s="52">
        <f t="shared" si="25"/>
        <v>-3.7945529539369898</v>
      </c>
      <c r="F52" s="52">
        <f t="shared" si="26"/>
        <v>-3.9648347604080225</v>
      </c>
      <c r="G52" s="52">
        <f t="shared" si="27"/>
        <v>-4.294802097969626</v>
      </c>
      <c r="H52" s="52">
        <f t="shared" si="3"/>
        <v>4.294802097969626</v>
      </c>
      <c r="I52" s="52"/>
      <c r="J52" s="52"/>
      <c r="K52" s="52"/>
      <c r="L52" s="52"/>
    </row>
    <row r="53" spans="1:12">
      <c r="A53" s="52"/>
      <c r="B53" s="68">
        <v>34.354126000000001</v>
      </c>
      <c r="C53" s="52">
        <v>1.7518977911390653E-6</v>
      </c>
      <c r="D53" s="52">
        <f>(-0.8186*(B53)+124.49)/1000000</f>
        <v>9.6367712456399995E-5</v>
      </c>
      <c r="E53" s="52">
        <f>LOG10(C53)</f>
        <v>-5.7564912349482693</v>
      </c>
      <c r="F53" s="52">
        <f t="shared" si="26"/>
        <v>-4.0160684500267356</v>
      </c>
      <c r="G53" s="52">
        <f>((E53-F53)/F53)*100</f>
        <v>43.33648209880355</v>
      </c>
      <c r="H53" s="52">
        <f t="shared" si="3"/>
        <v>43.33648209880355</v>
      </c>
      <c r="I53" s="52"/>
      <c r="J53" s="52"/>
      <c r="K53" s="52"/>
      <c r="L53" s="52"/>
    </row>
    <row r="54" spans="1:12">
      <c r="A54" s="52"/>
      <c r="B54" s="68">
        <v>5.1039937399999999</v>
      </c>
      <c r="C54" s="52">
        <v>5.8653158090200093E-5</v>
      </c>
      <c r="D54" s="52">
        <f t="shared" si="28"/>
        <v>1.2031187072443599E-4</v>
      </c>
      <c r="E54" s="52">
        <f t="shared" si="25"/>
        <v>-4.2317085989922321</v>
      </c>
      <c r="F54" s="52">
        <f t="shared" si="26"/>
        <v>-3.9196915203261669</v>
      </c>
      <c r="G54" s="52">
        <f t="shared" si="27"/>
        <v>7.9602457756701606</v>
      </c>
      <c r="H54" s="52">
        <f t="shared" si="3"/>
        <v>7.9602457756701606</v>
      </c>
      <c r="I54" s="52"/>
      <c r="J54" s="52"/>
      <c r="K54" s="52"/>
      <c r="L54" s="52"/>
    </row>
    <row r="55" spans="1:12">
      <c r="A55" s="52"/>
      <c r="B55" s="69">
        <v>13.897366</v>
      </c>
      <c r="C55" s="52">
        <v>1.4689367729364984E-4</v>
      </c>
      <c r="D55" s="52">
        <f t="shared" si="28"/>
        <v>1.131136161924E-4</v>
      </c>
      <c r="E55" s="52">
        <f t="shared" si="25"/>
        <v>-3.8329968970318919</v>
      </c>
      <c r="F55" s="52">
        <f t="shared" si="26"/>
        <v>-3.9464851131886838</v>
      </c>
      <c r="G55" s="52">
        <f t="shared" si="27"/>
        <v>-2.8756783036512088</v>
      </c>
      <c r="H55" s="52">
        <f t="shared" si="3"/>
        <v>2.8756783036512088</v>
      </c>
      <c r="I55" s="52"/>
      <c r="J55" s="52"/>
      <c r="K55" s="52"/>
      <c r="L55" s="52"/>
    </row>
    <row r="56" spans="1:12">
      <c r="A56" s="52"/>
      <c r="B56" s="70">
        <v>53.24</v>
      </c>
      <c r="C56" s="52">
        <v>9.9524256143168448E-5</v>
      </c>
      <c r="D56" s="52">
        <f t="shared" si="28"/>
        <v>8.0907736000000003E-5</v>
      </c>
      <c r="E56" s="52">
        <f t="shared" si="25"/>
        <v>-4.0020710597034173</v>
      </c>
      <c r="F56" s="52">
        <f t="shared" si="26"/>
        <v>-4.0920099512988797</v>
      </c>
      <c r="G56" s="52">
        <f t="shared" si="27"/>
        <v>-2.1979147818766704</v>
      </c>
      <c r="H56" s="52">
        <f t="shared" si="3"/>
        <v>2.1979147818766704</v>
      </c>
      <c r="I56" s="52"/>
      <c r="J56" s="52"/>
      <c r="K56" s="52"/>
      <c r="L56" s="52"/>
    </row>
    <row r="57" spans="1:12">
      <c r="A57" s="52" t="s">
        <v>6</v>
      </c>
      <c r="B57" s="71">
        <v>10.343832450000001</v>
      </c>
      <c r="C57" s="72">
        <v>2.2946925478485135E-5</v>
      </c>
      <c r="D57" s="52">
        <f>(0.4984*(B57) +19.753)/1000000</f>
        <v>2.4908366093080001E-5</v>
      </c>
      <c r="E57" s="52">
        <f t="shared" ref="E57:E66" si="29">LOG10(C57)</f>
        <v>-4.6392754947530968</v>
      </c>
      <c r="F57" s="52">
        <f t="shared" ref="F57:F66" si="30">LOG10(D57)</f>
        <v>-4.6036547598192703</v>
      </c>
      <c r="G57" s="52">
        <f t="shared" ref="G57:G66" si="31">((E57-F57)/F57)*100</f>
        <v>0.77374904922768017</v>
      </c>
      <c r="H57" s="52">
        <f t="shared" si="3"/>
        <v>0.77374904922768017</v>
      </c>
      <c r="I57" s="52"/>
      <c r="J57" s="52"/>
      <c r="K57" s="52"/>
      <c r="L57" s="52"/>
    </row>
    <row r="58" spans="1:12">
      <c r="A58" s="52"/>
      <c r="B58" s="71">
        <v>15.71209</v>
      </c>
      <c r="C58" s="72">
        <v>2.3861870315006336E-5</v>
      </c>
      <c r="D58" s="52">
        <f t="shared" ref="D58:D66" si="32">(0.4984*(B58) +19.753)/1000000</f>
        <v>2.7583905656E-5</v>
      </c>
      <c r="E58" s="52">
        <f t="shared" si="29"/>
        <v>-4.6222955189367285</v>
      </c>
      <c r="F58" s="52">
        <f t="shared" si="30"/>
        <v>-4.5593442412508525</v>
      </c>
      <c r="G58" s="52">
        <f t="shared" si="31"/>
        <v>1.3807090308365357</v>
      </c>
      <c r="H58" s="52">
        <f t="shared" si="3"/>
        <v>1.3807090308365357</v>
      </c>
      <c r="I58" s="52"/>
      <c r="J58" s="52"/>
      <c r="K58" s="52"/>
      <c r="L58" s="52"/>
    </row>
    <row r="59" spans="1:12">
      <c r="A59" s="52"/>
      <c r="B59" s="71">
        <v>34.986052999999998</v>
      </c>
      <c r="C59" s="72">
        <v>5.8392572492852264E-5</v>
      </c>
      <c r="D59" s="52">
        <f t="shared" si="32"/>
        <v>3.7190048815199998E-5</v>
      </c>
      <c r="E59" s="52">
        <f t="shared" si="29"/>
        <v>-4.2336423914238202</v>
      </c>
      <c r="F59" s="52">
        <f t="shared" si="30"/>
        <v>-4.4295732515910657</v>
      </c>
      <c r="G59" s="52">
        <f t="shared" si="31"/>
        <v>-4.4232446115857522</v>
      </c>
      <c r="H59" s="52">
        <f t="shared" si="3"/>
        <v>4.4232446115857522</v>
      </c>
      <c r="I59" s="52"/>
      <c r="J59" s="52"/>
      <c r="K59" s="52"/>
      <c r="L59" s="52"/>
    </row>
    <row r="60" spans="1:12">
      <c r="A60" s="52"/>
      <c r="B60" s="71">
        <v>5.7709435500000001</v>
      </c>
      <c r="C60" s="72">
        <v>1.8657274452033333E-5</v>
      </c>
      <c r="D60" s="52">
        <f t="shared" si="32"/>
        <v>2.262923826532E-5</v>
      </c>
      <c r="E60" s="52">
        <f t="shared" si="29"/>
        <v>-4.7291517998659165</v>
      </c>
      <c r="F60" s="52">
        <f t="shared" si="30"/>
        <v>-4.6453300648139875</v>
      </c>
      <c r="G60" s="52">
        <f t="shared" si="31"/>
        <v>1.8044301240688156</v>
      </c>
      <c r="H60" s="52">
        <f t="shared" si="3"/>
        <v>1.8044301240688156</v>
      </c>
      <c r="I60" s="52"/>
      <c r="J60" s="52"/>
      <c r="K60" s="52"/>
      <c r="L60" s="52"/>
    </row>
    <row r="61" spans="1:12">
      <c r="A61" s="52"/>
      <c r="B61" s="71">
        <v>58.904677999999997</v>
      </c>
      <c r="C61" s="72">
        <v>3.6235532333244225E-5</v>
      </c>
      <c r="D61" s="52">
        <f t="shared" si="32"/>
        <v>4.9111091515200004E-5</v>
      </c>
      <c r="E61" s="52">
        <f t="shared" si="29"/>
        <v>-4.440865354114095</v>
      </c>
      <c r="F61" s="52">
        <f t="shared" si="30"/>
        <v>-4.308820413378875</v>
      </c>
      <c r="G61" s="52">
        <f t="shared" si="31"/>
        <v>3.064526438029787</v>
      </c>
      <c r="H61" s="52">
        <f t="shared" si="3"/>
        <v>3.064526438029787</v>
      </c>
      <c r="I61" s="52"/>
      <c r="J61" s="52"/>
      <c r="K61" s="52"/>
      <c r="L61" s="52"/>
    </row>
    <row r="62" spans="1:12">
      <c r="A62" s="52"/>
      <c r="B62" s="71">
        <v>27.957999999999998</v>
      </c>
      <c r="C62" s="72">
        <v>3.5903142127800291E-5</v>
      </c>
      <c r="D62" s="52">
        <f t="shared" si="32"/>
        <v>3.3687267199999998E-5</v>
      </c>
      <c r="E62" s="52">
        <f t="shared" si="29"/>
        <v>-4.4448675416988319</v>
      </c>
      <c r="F62" s="52">
        <f t="shared" si="30"/>
        <v>-4.4725342187042063</v>
      </c>
      <c r="G62" s="52">
        <f t="shared" si="31"/>
        <v>-0.6185906166949362</v>
      </c>
      <c r="H62" s="52">
        <f t="shared" si="3"/>
        <v>0.6185906166949362</v>
      </c>
      <c r="I62" s="52"/>
      <c r="J62" s="52"/>
      <c r="K62" s="52"/>
      <c r="L62" s="52"/>
    </row>
    <row r="63" spans="1:12">
      <c r="A63" s="52"/>
      <c r="B63" s="71">
        <v>33.360999999999997</v>
      </c>
      <c r="C63" s="72">
        <v>3.910388302762334E-5</v>
      </c>
      <c r="D63" s="52">
        <f t="shared" si="32"/>
        <v>3.6380122400000001E-5</v>
      </c>
      <c r="E63" s="52">
        <f t="shared" si="29"/>
        <v>-4.4077801148870428</v>
      </c>
      <c r="F63" s="52">
        <f t="shared" si="30"/>
        <v>-4.4391358440972972</v>
      </c>
      <c r="G63" s="52">
        <f t="shared" si="31"/>
        <v>-0.70634759357382637</v>
      </c>
      <c r="H63" s="52">
        <f t="shared" si="3"/>
        <v>0.70634759357382637</v>
      </c>
      <c r="I63" s="52"/>
      <c r="J63" s="52"/>
      <c r="K63" s="52"/>
      <c r="L63" s="52"/>
    </row>
    <row r="64" spans="1:12">
      <c r="A64" s="52"/>
      <c r="B64" s="71">
        <v>27.957999999999998</v>
      </c>
      <c r="C64" s="72">
        <v>3.5903142127800291E-5</v>
      </c>
      <c r="D64" s="52">
        <f t="shared" si="32"/>
        <v>3.3687267199999998E-5</v>
      </c>
      <c r="E64" s="52">
        <f t="shared" si="29"/>
        <v>-4.4448675416988319</v>
      </c>
      <c r="F64" s="52">
        <f t="shared" si="30"/>
        <v>-4.4725342187042063</v>
      </c>
      <c r="G64" s="52">
        <f t="shared" si="31"/>
        <v>-0.6185906166949362</v>
      </c>
      <c r="H64" s="52">
        <f t="shared" si="3"/>
        <v>0.6185906166949362</v>
      </c>
      <c r="I64" s="52"/>
      <c r="J64" s="52"/>
      <c r="K64" s="52"/>
      <c r="L64" s="52"/>
    </row>
    <row r="65" spans="1:12">
      <c r="A65" s="52"/>
      <c r="B65" s="71">
        <v>18.408000000000001</v>
      </c>
      <c r="C65" s="72">
        <v>3.702613813397957E-5</v>
      </c>
      <c r="D65" s="52">
        <f t="shared" si="32"/>
        <v>2.8927547199999999E-5</v>
      </c>
      <c r="E65" s="52">
        <f t="shared" si="29"/>
        <v>-4.4314915829698851</v>
      </c>
      <c r="F65" s="52">
        <f t="shared" si="30"/>
        <v>-4.53868838911957</v>
      </c>
      <c r="G65" s="52">
        <f t="shared" si="31"/>
        <v>-2.3618454707457732</v>
      </c>
      <c r="H65" s="52">
        <f t="shared" si="3"/>
        <v>2.3618454707457732</v>
      </c>
      <c r="I65" s="52"/>
      <c r="J65" s="52"/>
      <c r="K65" s="52"/>
      <c r="L65" s="52"/>
    </row>
    <row r="66" spans="1:12">
      <c r="A66" s="52"/>
      <c r="B66" s="71">
        <v>17.62</v>
      </c>
      <c r="C66" s="72">
        <v>1.4619297472663916E-5</v>
      </c>
      <c r="D66" s="52">
        <f t="shared" si="32"/>
        <v>2.8534807999999998E-5</v>
      </c>
      <c r="E66" s="52">
        <f t="shared" si="29"/>
        <v>-4.8350734968088132</v>
      </c>
      <c r="F66" s="52">
        <f t="shared" si="30"/>
        <v>-4.5446250453095578</v>
      </c>
      <c r="G66" s="52">
        <f t="shared" si="31"/>
        <v>6.3910322326596134</v>
      </c>
      <c r="H66" s="52">
        <f t="shared" si="3"/>
        <v>6.3910322326596134</v>
      </c>
      <c r="I66" s="52"/>
      <c r="J66" s="52"/>
      <c r="K66" s="52"/>
      <c r="L66" s="52"/>
    </row>
    <row r="67" spans="1:12">
      <c r="A67" s="52" t="s">
        <v>7</v>
      </c>
      <c r="B67" s="73">
        <v>3.2959280899999999</v>
      </c>
      <c r="C67" s="74">
        <v>3.3282395476770544E-5</v>
      </c>
      <c r="D67" s="52">
        <f>(1.1953*(B67)+31.675)/1000000</f>
        <v>3.5614622845977005E-5</v>
      </c>
      <c r="E67" s="52">
        <f t="shared" ref="E67:E71" si="33">LOG10(C67)</f>
        <v>-4.4777854232195615</v>
      </c>
      <c r="F67" s="52">
        <f t="shared" ref="F67:F71" si="34">LOG10(D67)</f>
        <v>-4.4483716504146891</v>
      </c>
      <c r="G67" s="52">
        <f t="shared" ref="G67:G71" si="35">((E67-F67)/F67)*100</f>
        <v>0.6612256150434378</v>
      </c>
      <c r="H67" s="52">
        <f t="shared" si="3"/>
        <v>0.6612256150434378</v>
      </c>
      <c r="I67" s="52"/>
      <c r="J67" s="52"/>
      <c r="K67" s="52"/>
      <c r="L67" s="52"/>
    </row>
    <row r="68" spans="1:12">
      <c r="A68" s="52"/>
      <c r="B68" s="73">
        <v>2.4853700000000001</v>
      </c>
      <c r="C68" s="74">
        <v>3.7967348929210352E-5</v>
      </c>
      <c r="D68" s="52">
        <f t="shared" ref="D68:D71" si="36">(1.1953*(B68)+31.675)/1000000</f>
        <v>3.4645762761000003E-5</v>
      </c>
      <c r="E68" s="52">
        <f t="shared" si="33"/>
        <v>-4.4205897264211851</v>
      </c>
      <c r="F68" s="52">
        <f t="shared" si="34"/>
        <v>-4.4603498727994211</v>
      </c>
      <c r="G68" s="52">
        <f t="shared" si="35"/>
        <v>-0.89141317412576837</v>
      </c>
      <c r="H68" s="52">
        <f t="shared" si="3"/>
        <v>0.89141317412576837</v>
      </c>
      <c r="I68" s="52"/>
      <c r="J68" s="52"/>
      <c r="K68" s="52"/>
      <c r="L68" s="52"/>
    </row>
    <row r="69" spans="1:12">
      <c r="A69" s="52"/>
      <c r="B69" s="73">
        <v>12.807232000000001</v>
      </c>
      <c r="C69" s="74">
        <v>4.5168879119091026E-5</v>
      </c>
      <c r="D69" s="52">
        <f t="shared" si="36"/>
        <v>4.6983484409600005E-5</v>
      </c>
      <c r="E69" s="52">
        <f t="shared" si="33"/>
        <v>-4.3451606864683496</v>
      </c>
      <c r="F69" s="52">
        <f t="shared" si="34"/>
        <v>-4.3280547780278242</v>
      </c>
      <c r="G69" s="52">
        <f t="shared" si="35"/>
        <v>0.3952331779016921</v>
      </c>
      <c r="H69" s="52">
        <f t="shared" si="3"/>
        <v>0.3952331779016921</v>
      </c>
      <c r="I69" s="52"/>
      <c r="J69" s="52"/>
      <c r="K69" s="52"/>
      <c r="L69" s="52"/>
    </row>
    <row r="70" spans="1:12">
      <c r="A70" s="52"/>
      <c r="B70" s="73">
        <v>2.1166718900000001</v>
      </c>
      <c r="C70" s="74">
        <v>2.6929829721697858E-5</v>
      </c>
      <c r="D70" s="52">
        <f t="shared" si="36"/>
        <v>3.4205057910116998E-5</v>
      </c>
      <c r="E70" s="52">
        <f t="shared" si="33"/>
        <v>-4.5697663926397638</v>
      </c>
      <c r="F70" s="52">
        <f t="shared" si="34"/>
        <v>-4.4659096699661394</v>
      </c>
      <c r="G70" s="52">
        <f t="shared" si="35"/>
        <v>2.3255446336515782</v>
      </c>
      <c r="H70" s="52">
        <f t="shared" ref="H70:H108" si="37">ABS(G70)</f>
        <v>2.3255446336515782</v>
      </c>
      <c r="I70" s="52"/>
      <c r="J70" s="52"/>
      <c r="K70" s="52"/>
      <c r="L70" s="52"/>
    </row>
    <row r="71" spans="1:12">
      <c r="A71" s="52"/>
      <c r="B71" s="75">
        <v>4.6997289999999996</v>
      </c>
      <c r="C71" s="74">
        <v>4.5393679287670679E-5</v>
      </c>
      <c r="D71" s="52">
        <f t="shared" si="36"/>
        <v>3.7292586073700002E-5</v>
      </c>
      <c r="E71" s="52">
        <f t="shared" si="33"/>
        <v>-4.3430046150193453</v>
      </c>
      <c r="F71" s="52">
        <f t="shared" si="34"/>
        <v>-4.4283774992186009</v>
      </c>
      <c r="G71" s="52">
        <f t="shared" si="35"/>
        <v>-1.9278592264168959</v>
      </c>
      <c r="H71" s="52">
        <f t="shared" si="37"/>
        <v>1.9278592264168959</v>
      </c>
      <c r="I71" s="52"/>
      <c r="J71" s="52"/>
      <c r="K71" s="52"/>
      <c r="L71" s="52"/>
    </row>
    <row r="72" spans="1:12">
      <c r="A72" s="52" t="s">
        <v>8</v>
      </c>
      <c r="B72" s="68">
        <v>3.34037352</v>
      </c>
      <c r="C72" s="76">
        <v>2.5246059159513736E-5</v>
      </c>
      <c r="D72" s="52">
        <f>(2.6843*(B72)+21.412)/1000000</f>
        <v>3.0378564639735998E-5</v>
      </c>
      <c r="E72" s="52">
        <f t="shared" ref="E72:E76" si="38">LOG10(C72)</f>
        <v>-4.5978064044304432</v>
      </c>
      <c r="F72" s="52">
        <f t="shared" ref="F72:F76" si="39">LOG10(D72)</f>
        <v>-4.5174327500179592</v>
      </c>
      <c r="G72" s="52">
        <f t="shared" ref="G72:G76" si="40">((E72-F72)/F72)*100</f>
        <v>1.7791887308596785</v>
      </c>
      <c r="H72" s="52">
        <f t="shared" si="37"/>
        <v>1.7791887308596785</v>
      </c>
      <c r="I72" s="52"/>
      <c r="J72" s="52"/>
      <c r="K72" s="52"/>
      <c r="L72" s="52"/>
    </row>
    <row r="73" spans="1:12">
      <c r="A73" s="52"/>
      <c r="B73" s="68">
        <v>14.187999</v>
      </c>
      <c r="C73" s="76">
        <v>5.9286000135193012E-5</v>
      </c>
      <c r="D73" s="52">
        <f t="shared" ref="D73:D76" si="41">(2.6843*(B73)+21.412)/1000000</f>
        <v>5.94968457157E-5</v>
      </c>
      <c r="E73" s="52">
        <f t="shared" si="38"/>
        <v>-4.2270478493314076</v>
      </c>
      <c r="F73" s="52">
        <f t="shared" si="39"/>
        <v>-4.2255060582139414</v>
      </c>
      <c r="G73" s="52">
        <f t="shared" si="40"/>
        <v>3.6487727060978588E-2</v>
      </c>
      <c r="H73" s="52">
        <f t="shared" si="37"/>
        <v>3.6487727060978588E-2</v>
      </c>
      <c r="I73" s="52"/>
      <c r="J73" s="52"/>
      <c r="K73" s="52"/>
      <c r="L73" s="52"/>
    </row>
    <row r="74" spans="1:12">
      <c r="A74" s="52"/>
      <c r="B74" s="68">
        <v>3.7291750000000001</v>
      </c>
      <c r="C74" s="76">
        <v>4.5599094462961984E-5</v>
      </c>
      <c r="D74" s="52">
        <f t="shared" si="41"/>
        <v>3.1422224452499994E-5</v>
      </c>
      <c r="E74" s="52">
        <f t="shared" si="38"/>
        <v>-4.3410437817575751</v>
      </c>
      <c r="F74" s="52">
        <f t="shared" si="39"/>
        <v>-4.5027630734892305</v>
      </c>
      <c r="G74" s="52">
        <f t="shared" si="40"/>
        <v>-3.5915567639746531</v>
      </c>
      <c r="H74" s="52">
        <f t="shared" si="37"/>
        <v>3.5915567639746531</v>
      </c>
      <c r="I74" s="52"/>
      <c r="J74" s="52"/>
      <c r="K74" s="52"/>
      <c r="L74" s="52"/>
    </row>
    <row r="75" spans="1:12">
      <c r="A75" s="52"/>
      <c r="B75" s="68">
        <v>1.76712333</v>
      </c>
      <c r="C75" s="76">
        <v>2.6460109671433438E-5</v>
      </c>
      <c r="D75" s="52">
        <f t="shared" si="41"/>
        <v>2.6155489154718998E-5</v>
      </c>
      <c r="E75" s="52">
        <f t="shared" si="38"/>
        <v>-4.5774083600880617</v>
      </c>
      <c r="F75" s="52">
        <f t="shared" si="39"/>
        <v>-4.5824371534721875</v>
      </c>
      <c r="G75" s="52">
        <f t="shared" si="40"/>
        <v>-0.10974058597432948</v>
      </c>
      <c r="H75" s="52">
        <f t="shared" si="37"/>
        <v>0.10974058597432948</v>
      </c>
      <c r="I75" s="52"/>
      <c r="J75" s="52"/>
      <c r="K75" s="52"/>
      <c r="L75" s="52"/>
    </row>
    <row r="76" spans="1:12">
      <c r="A76" s="52"/>
      <c r="B76" s="69">
        <v>3.6403880000000002</v>
      </c>
      <c r="C76" s="76">
        <v>2.2046742266792442E-5</v>
      </c>
      <c r="D76" s="52">
        <f t="shared" si="41"/>
        <v>3.1183893508399996E-5</v>
      </c>
      <c r="E76" s="52">
        <f t="shared" si="38"/>
        <v>-4.6566555749072718</v>
      </c>
      <c r="F76" s="52">
        <f t="shared" si="39"/>
        <v>-4.5060696613201303</v>
      </c>
      <c r="G76" s="52">
        <f t="shared" si="40"/>
        <v>3.3418461077014232</v>
      </c>
      <c r="H76" s="52">
        <f t="shared" si="37"/>
        <v>3.3418461077014232</v>
      </c>
      <c r="I76" s="52"/>
      <c r="J76" s="52"/>
      <c r="K76" s="52"/>
      <c r="L76" s="52"/>
    </row>
    <row r="77" spans="1:12">
      <c r="A77" s="52" t="s">
        <v>9</v>
      </c>
      <c r="B77" s="77">
        <v>3.1677710000000001</v>
      </c>
      <c r="C77" s="78">
        <v>3.0661163201479E-5</v>
      </c>
      <c r="D77" s="52">
        <f>(0.901*(B77)+25.696)/1000000</f>
        <v>2.8550161671000002E-5</v>
      </c>
      <c r="E77" s="52">
        <f t="shared" ref="E77:E81" si="42">LOG10(C77)</f>
        <v>-4.5134113732128531</v>
      </c>
      <c r="F77" s="52">
        <f t="shared" ref="F77:F81" si="43">LOG10(D77)</f>
        <v>-4.5443914281318145</v>
      </c>
      <c r="G77" s="52">
        <f t="shared" ref="G77:G81" si="44">((E77-F77)/F77)*100</f>
        <v>-0.68172065300495455</v>
      </c>
      <c r="H77" s="52">
        <f t="shared" si="37"/>
        <v>0.68172065300495455</v>
      </c>
      <c r="I77" s="52"/>
      <c r="J77" s="52"/>
      <c r="K77" s="52"/>
      <c r="L77" s="52"/>
    </row>
    <row r="78" spans="1:12">
      <c r="A78" s="52"/>
      <c r="B78" s="77">
        <v>4.8828459999999998</v>
      </c>
      <c r="C78" s="78">
        <v>3.3894396032506185E-5</v>
      </c>
      <c r="D78" s="52">
        <f t="shared" ref="D78:D81" si="45">(0.901*(B78)+25.696)/1000000</f>
        <v>3.0095444245999998E-5</v>
      </c>
      <c r="E78" s="52">
        <f t="shared" si="42"/>
        <v>-4.4698721004206181</v>
      </c>
      <c r="F78" s="52">
        <f t="shared" si="43"/>
        <v>-4.5214992415678861</v>
      </c>
      <c r="G78" s="52">
        <f t="shared" si="44"/>
        <v>-1.1418146590104394</v>
      </c>
      <c r="H78" s="52">
        <f t="shared" si="37"/>
        <v>1.1418146590104394</v>
      </c>
      <c r="I78" s="52"/>
      <c r="J78" s="52"/>
      <c r="K78" s="52"/>
      <c r="L78" s="52"/>
    </row>
    <row r="79" spans="1:12">
      <c r="A79" s="52"/>
      <c r="B79" s="77">
        <v>7.1984000000000004</v>
      </c>
      <c r="C79" s="78">
        <v>2.4070968435116112E-5</v>
      </c>
      <c r="D79" s="52">
        <f t="shared" si="45"/>
        <v>3.2181758400000002E-5</v>
      </c>
      <c r="E79" s="52">
        <f t="shared" si="42"/>
        <v>-4.6185064366229227</v>
      </c>
      <c r="F79" s="52">
        <f t="shared" si="43"/>
        <v>-4.4923902298903933</v>
      </c>
      <c r="G79" s="52">
        <f t="shared" si="44"/>
        <v>2.8073297349239064</v>
      </c>
      <c r="H79" s="52">
        <f t="shared" si="37"/>
        <v>2.8073297349239064</v>
      </c>
      <c r="I79" s="52"/>
      <c r="J79" s="52"/>
      <c r="K79" s="52"/>
      <c r="L79" s="52"/>
    </row>
    <row r="80" spans="1:12">
      <c r="A80" s="52"/>
      <c r="B80" s="77">
        <v>1.4574027199999999</v>
      </c>
      <c r="C80" s="78">
        <v>1.8251640755209361E-5</v>
      </c>
      <c r="D80" s="52">
        <f t="shared" si="45"/>
        <v>2.7009119850720001E-5</v>
      </c>
      <c r="E80" s="52">
        <f t="shared" si="42"/>
        <v>-4.7386980879798974</v>
      </c>
      <c r="F80" s="52">
        <f t="shared" si="43"/>
        <v>-4.5684895679859512</v>
      </c>
      <c r="G80" s="52">
        <f t="shared" si="44"/>
        <v>3.7257066577692504</v>
      </c>
      <c r="H80" s="52">
        <f t="shared" si="37"/>
        <v>3.7257066577692504</v>
      </c>
      <c r="I80" s="52"/>
      <c r="J80" s="52"/>
      <c r="K80" s="52"/>
      <c r="L80" s="52"/>
    </row>
    <row r="81" spans="1:12">
      <c r="A81" s="52"/>
      <c r="B81" s="79">
        <v>4.189559</v>
      </c>
      <c r="C81" s="78">
        <v>4.0428621200156635E-5</v>
      </c>
      <c r="D81" s="52">
        <f t="shared" si="45"/>
        <v>2.9470792659000002E-5</v>
      </c>
      <c r="E81" s="52">
        <f t="shared" si="42"/>
        <v>-4.3933110698306717</v>
      </c>
      <c r="F81" s="52">
        <f t="shared" si="43"/>
        <v>-4.5306081830234994</v>
      </c>
      <c r="G81" s="52">
        <f t="shared" si="44"/>
        <v>-3.0304344945848443</v>
      </c>
      <c r="H81" s="52">
        <f t="shared" si="37"/>
        <v>3.0304344945848443</v>
      </c>
      <c r="I81" s="52"/>
      <c r="J81" s="52"/>
      <c r="K81" s="52"/>
      <c r="L81" s="52"/>
    </row>
    <row r="82" spans="1:12">
      <c r="A82" s="52" t="s">
        <v>10</v>
      </c>
      <c r="B82" s="80">
        <v>10.39838804</v>
      </c>
      <c r="C82" s="81">
        <v>3.5042795391910472E-5</v>
      </c>
      <c r="D82" s="52">
        <f>(4.0948*(B82)-4.7909)/1000000</f>
        <v>3.7788419346191999E-5</v>
      </c>
      <c r="E82" s="52">
        <f t="shared" ref="E82:E86" si="46">LOG10(C82)</f>
        <v>-4.4554012571027473</v>
      </c>
      <c r="F82" s="52">
        <f t="shared" ref="F82:F86" si="47">LOG10(D82)</f>
        <v>-4.422641273830104</v>
      </c>
      <c r="G82" s="52">
        <f t="shared" ref="G82:G86" si="48">((E82-F82)/F82)*100</f>
        <v>0.74073344963545795</v>
      </c>
      <c r="H82" s="52">
        <f t="shared" si="37"/>
        <v>0.74073344963545795</v>
      </c>
      <c r="I82" s="52"/>
      <c r="J82" s="52"/>
      <c r="K82" s="52"/>
      <c r="L82" s="52"/>
    </row>
    <row r="83" spans="1:12">
      <c r="A83" s="52"/>
      <c r="B83" s="80">
        <v>11.654833</v>
      </c>
      <c r="C83" s="81">
        <v>3.8703812126900253E-5</v>
      </c>
      <c r="D83" s="52">
        <f t="shared" ref="D83:D86" si="49">(4.0948*(B83)-4.7909)/1000000</f>
        <v>4.2933310168400001E-5</v>
      </c>
      <c r="E83" s="52">
        <f t="shared" si="46"/>
        <v>-4.4122462570963066</v>
      </c>
      <c r="F83" s="52">
        <f t="shared" si="47"/>
        <v>-4.3672056260220824</v>
      </c>
      <c r="G83" s="52">
        <f t="shared" si="48"/>
        <v>1.0313375400931131</v>
      </c>
      <c r="H83" s="52">
        <f t="shared" si="37"/>
        <v>1.0313375400931131</v>
      </c>
      <c r="I83" s="52"/>
      <c r="J83" s="52"/>
      <c r="K83" s="52"/>
      <c r="L83" s="52"/>
    </row>
    <row r="84" spans="1:12">
      <c r="A84" s="52"/>
      <c r="B84" s="80">
        <v>10.545187</v>
      </c>
      <c r="C84" s="81">
        <v>4.2467545415996484E-5</v>
      </c>
      <c r="D84" s="52">
        <f t="shared" si="49"/>
        <v>3.8389531727600001E-5</v>
      </c>
      <c r="E84" s="52">
        <f t="shared" si="46"/>
        <v>-4.3719428400946692</v>
      </c>
      <c r="F84" s="52">
        <f t="shared" si="47"/>
        <v>-4.4157871853392159</v>
      </c>
      <c r="G84" s="52">
        <f t="shared" si="48"/>
        <v>-0.992899870494521</v>
      </c>
      <c r="H84" s="52">
        <f t="shared" si="37"/>
        <v>0.992899870494521</v>
      </c>
      <c r="I84" s="52"/>
      <c r="J84" s="52"/>
      <c r="K84" s="52"/>
      <c r="L84" s="52"/>
    </row>
    <row r="85" spans="1:12">
      <c r="A85" s="52"/>
      <c r="B85" s="80">
        <v>10.25729647</v>
      </c>
      <c r="C85" s="81">
        <v>2.8846238041541924E-5</v>
      </c>
      <c r="D85" s="52">
        <f t="shared" si="49"/>
        <v>3.7210677585355999E-5</v>
      </c>
      <c r="E85" s="52">
        <f t="shared" si="46"/>
        <v>-4.5399108169737632</v>
      </c>
      <c r="F85" s="52">
        <f t="shared" si="47"/>
        <v>-4.4293324216500096</v>
      </c>
      <c r="G85" s="52">
        <f t="shared" si="48"/>
        <v>2.4965025154413909</v>
      </c>
      <c r="H85" s="52">
        <f t="shared" si="37"/>
        <v>2.4965025154413909</v>
      </c>
      <c r="I85" s="52"/>
      <c r="J85" s="52"/>
      <c r="K85" s="52"/>
      <c r="L85" s="52"/>
    </row>
    <row r="86" spans="1:12">
      <c r="A86" s="52"/>
      <c r="B86" s="82">
        <v>10.712316</v>
      </c>
      <c r="C86" s="81">
        <v>5.0334864543371737E-5</v>
      </c>
      <c r="D86" s="52">
        <f t="shared" si="49"/>
        <v>3.9073891556800002E-5</v>
      </c>
      <c r="E86" s="52">
        <f t="shared" si="46"/>
        <v>-4.2981310957849939</v>
      </c>
      <c r="F86" s="52">
        <f t="shared" si="47"/>
        <v>-4.4081133331448141</v>
      </c>
      <c r="G86" s="52">
        <f t="shared" si="48"/>
        <v>-2.4949956829117479</v>
      </c>
      <c r="H86" s="52">
        <f t="shared" si="37"/>
        <v>2.4949956829117479</v>
      </c>
      <c r="I86" s="52"/>
      <c r="J86" s="52"/>
      <c r="K86" s="52"/>
      <c r="L86" s="52"/>
    </row>
    <row r="87" spans="1:12">
      <c r="A87" s="52" t="s">
        <v>11</v>
      </c>
      <c r="B87" s="77">
        <v>39.100773099999998</v>
      </c>
      <c r="C87" s="78">
        <v>8.1340132585415591E-5</v>
      </c>
      <c r="D87" s="52">
        <f>(0.0689*(C87)+80.195)/1000000</f>
        <v>8.0195005604335125E-5</v>
      </c>
      <c r="E87" s="52">
        <f t="shared" ref="E87:E100" si="50">LOG10(C87)</f>
        <v>-4.0896951240255124</v>
      </c>
      <c r="F87" s="52">
        <f t="shared" ref="F87:F100" si="51">LOG10(D87)</f>
        <v>-4.0958526779255386</v>
      </c>
      <c r="G87" s="52">
        <f t="shared" ref="G87:G100" si="52">((E87-F87)/F87)*100</f>
        <v>-0.15033631295413014</v>
      </c>
      <c r="H87" s="52">
        <f t="shared" si="37"/>
        <v>0.15033631295413014</v>
      </c>
      <c r="I87" s="52"/>
      <c r="J87" s="52"/>
      <c r="K87" s="52"/>
      <c r="L87" s="52"/>
    </row>
    <row r="88" spans="1:12">
      <c r="A88" s="52"/>
      <c r="B88" s="77">
        <v>13.680125</v>
      </c>
      <c r="C88" s="78">
        <v>7.7249310950110907E-5</v>
      </c>
      <c r="D88" s="52">
        <f t="shared" ref="D88:D100" si="53">(0.0689*(C88)+80.195)/1000000</f>
        <v>8.0195005322477512E-5</v>
      </c>
      <c r="E88" s="52">
        <f t="shared" si="50"/>
        <v>-4.1121053857141208</v>
      </c>
      <c r="F88" s="52">
        <f t="shared" si="51"/>
        <v>-4.0958526794519337</v>
      </c>
      <c r="G88" s="52">
        <f t="shared" si="52"/>
        <v>0.39680885847588365</v>
      </c>
      <c r="H88" s="52">
        <f t="shared" si="37"/>
        <v>0.39680885847588365</v>
      </c>
      <c r="I88" s="52"/>
      <c r="J88" s="52"/>
      <c r="K88" s="52"/>
      <c r="L88" s="52"/>
    </row>
    <row r="89" spans="1:12">
      <c r="A89" s="52"/>
      <c r="B89" s="77">
        <v>95.315978999999999</v>
      </c>
      <c r="C89" s="78">
        <v>7.144230137741136E-5</v>
      </c>
      <c r="D89" s="52">
        <f t="shared" si="53"/>
        <v>8.0195004922374561E-5</v>
      </c>
      <c r="E89" s="52">
        <f t="shared" si="50"/>
        <v>-4.1460445639261696</v>
      </c>
      <c r="F89" s="52">
        <f t="shared" si="51"/>
        <v>-4.0958526816186831</v>
      </c>
      <c r="G89" s="52">
        <f t="shared" si="52"/>
        <v>1.2254318260209165</v>
      </c>
      <c r="H89" s="52">
        <f t="shared" si="37"/>
        <v>1.2254318260209165</v>
      </c>
      <c r="I89" s="52"/>
      <c r="J89" s="52"/>
      <c r="K89" s="52"/>
      <c r="L89" s="52"/>
    </row>
    <row r="90" spans="1:12">
      <c r="A90" s="52"/>
      <c r="B90" s="77">
        <v>17.045695510000002</v>
      </c>
      <c r="C90" s="78">
        <v>6.1233615302696233E-5</v>
      </c>
      <c r="D90" s="52">
        <f t="shared" si="53"/>
        <v>8.0195004218996084E-5</v>
      </c>
      <c r="E90" s="52">
        <f t="shared" si="50"/>
        <v>-4.2130100985642667</v>
      </c>
      <c r="F90" s="52">
        <f t="shared" si="51"/>
        <v>-4.0958526854278157</v>
      </c>
      <c r="G90" s="52">
        <f t="shared" si="52"/>
        <v>2.860391281973409</v>
      </c>
      <c r="H90" s="52">
        <f t="shared" si="37"/>
        <v>2.860391281973409</v>
      </c>
      <c r="I90" s="52"/>
      <c r="J90" s="52"/>
      <c r="K90" s="52"/>
      <c r="L90" s="52"/>
    </row>
    <row r="91" spans="1:12">
      <c r="A91" s="52"/>
      <c r="B91" s="79">
        <v>24.187605000000001</v>
      </c>
      <c r="C91" s="78">
        <v>1.1967928935617715E-4</v>
      </c>
      <c r="D91" s="52">
        <f t="shared" si="53"/>
        <v>8.0195008245903025E-5</v>
      </c>
      <c r="E91" s="52">
        <f t="shared" si="50"/>
        <v>-3.9219809982697806</v>
      </c>
      <c r="F91" s="52">
        <f t="shared" si="51"/>
        <v>-4.09585266362018</v>
      </c>
      <c r="G91" s="52">
        <f t="shared" si="52"/>
        <v>-4.2450664032607142</v>
      </c>
      <c r="H91" s="52">
        <f t="shared" si="37"/>
        <v>4.2450664032607142</v>
      </c>
      <c r="I91" s="52"/>
      <c r="J91" s="52"/>
      <c r="K91" s="52"/>
      <c r="L91" s="52"/>
    </row>
    <row r="92" spans="1:12">
      <c r="A92" s="52"/>
      <c r="B92" s="83">
        <v>106.51051712</v>
      </c>
      <c r="C92" s="84">
        <v>8.1340132585415589E-4</v>
      </c>
      <c r="D92" s="52">
        <f t="shared" si="53"/>
        <v>8.0195056043351343E-5</v>
      </c>
      <c r="E92" s="52">
        <f t="shared" si="50"/>
        <v>-3.0896951240255124</v>
      </c>
      <c r="F92" s="52">
        <f t="shared" si="51"/>
        <v>-4.0958524047741207</v>
      </c>
      <c r="G92" s="52">
        <f t="shared" si="52"/>
        <v>-24.565271921806374</v>
      </c>
      <c r="H92" s="52">
        <f t="shared" si="37"/>
        <v>24.565271921806374</v>
      </c>
      <c r="I92" s="52"/>
      <c r="J92" s="52"/>
      <c r="K92" s="52"/>
      <c r="L92" s="52"/>
    </row>
    <row r="93" spans="1:12">
      <c r="A93" s="52"/>
      <c r="B93" s="83">
        <v>46.633232</v>
      </c>
      <c r="C93" s="84">
        <v>4.4571665082961717E-5</v>
      </c>
      <c r="D93" s="52">
        <f t="shared" si="53"/>
        <v>8.0195003070987719E-5</v>
      </c>
      <c r="E93" s="52">
        <f t="shared" si="50"/>
        <v>-4.3509411414840553</v>
      </c>
      <c r="F93" s="52">
        <f t="shared" si="51"/>
        <v>-4.0958526916448328</v>
      </c>
      <c r="G93" s="52">
        <f t="shared" si="52"/>
        <v>6.2279693398051101</v>
      </c>
      <c r="H93" s="52">
        <f t="shared" si="37"/>
        <v>6.2279693398051101</v>
      </c>
      <c r="I93" s="52"/>
      <c r="J93" s="52"/>
      <c r="K93" s="52"/>
      <c r="L93" s="52"/>
    </row>
    <row r="94" spans="1:12">
      <c r="A94" s="52"/>
      <c r="B94" s="85">
        <v>29.487005</v>
      </c>
      <c r="C94" s="84">
        <v>8.2686029542381224E-5</v>
      </c>
      <c r="D94" s="52">
        <f t="shared" si="53"/>
        <v>8.0195005697067425E-5</v>
      </c>
      <c r="E94" s="52">
        <f t="shared" si="50"/>
        <v>-4.082567861731409</v>
      </c>
      <c r="F94" s="52">
        <f t="shared" si="51"/>
        <v>-4.0958526774233492</v>
      </c>
      <c r="G94" s="52">
        <f t="shared" si="52"/>
        <v>-0.32434798656619657</v>
      </c>
      <c r="H94" s="52">
        <f t="shared" si="37"/>
        <v>0.32434798656619657</v>
      </c>
      <c r="I94" s="52"/>
      <c r="J94" s="52"/>
      <c r="K94" s="52"/>
      <c r="L94" s="52"/>
    </row>
    <row r="95" spans="1:12">
      <c r="A95" s="52"/>
      <c r="B95" s="83">
        <v>95.315978999999999</v>
      </c>
      <c r="C95" s="84">
        <v>7.1442301377411352E-4</v>
      </c>
      <c r="D95" s="52">
        <f t="shared" si="53"/>
        <v>8.0195049223745645E-5</v>
      </c>
      <c r="E95" s="52">
        <f t="shared" si="50"/>
        <v>-3.1460445639261692</v>
      </c>
      <c r="F95" s="52">
        <f t="shared" si="51"/>
        <v>-4.0958524417055395</v>
      </c>
      <c r="G95" s="52">
        <f t="shared" si="52"/>
        <v>-23.189504292392531</v>
      </c>
      <c r="H95" s="52">
        <f t="shared" si="37"/>
        <v>23.189504292392531</v>
      </c>
      <c r="I95" s="52"/>
      <c r="J95" s="52"/>
      <c r="K95" s="52"/>
      <c r="L95" s="52"/>
    </row>
    <row r="96" spans="1:12">
      <c r="A96" s="52"/>
      <c r="B96" s="73">
        <v>18.020671279999998</v>
      </c>
      <c r="C96" s="74">
        <v>8.1340132585415591E-5</v>
      </c>
      <c r="D96" s="52">
        <f t="shared" si="53"/>
        <v>8.0195005604335125E-5</v>
      </c>
      <c r="E96" s="52">
        <f t="shared" si="50"/>
        <v>-4.0896951240255124</v>
      </c>
      <c r="F96" s="52">
        <f t="shared" si="51"/>
        <v>-4.0958526779255386</v>
      </c>
      <c r="G96" s="52">
        <f t="shared" si="52"/>
        <v>-0.15033631295413014</v>
      </c>
      <c r="H96" s="52">
        <f t="shared" si="37"/>
        <v>0.15033631295413014</v>
      </c>
      <c r="I96" s="52"/>
      <c r="J96" s="52"/>
      <c r="K96" s="52"/>
      <c r="L96" s="52"/>
    </row>
    <row r="97" spans="1:12">
      <c r="A97" s="52"/>
      <c r="B97" s="73">
        <v>18.279710999999999</v>
      </c>
      <c r="C97" s="74">
        <v>7.7249310950110907E-5</v>
      </c>
      <c r="D97" s="52">
        <f t="shared" si="53"/>
        <v>8.0195005322477512E-5</v>
      </c>
      <c r="E97" s="52">
        <f t="shared" si="50"/>
        <v>-4.1121053857141208</v>
      </c>
      <c r="F97" s="52">
        <f t="shared" si="51"/>
        <v>-4.0958526794519337</v>
      </c>
      <c r="G97" s="52">
        <f t="shared" si="52"/>
        <v>0.39680885847588365</v>
      </c>
      <c r="H97" s="52">
        <f t="shared" si="37"/>
        <v>0.39680885847588365</v>
      </c>
      <c r="I97" s="52"/>
      <c r="J97" s="52"/>
      <c r="K97" s="52"/>
      <c r="L97" s="52"/>
    </row>
    <row r="98" spans="1:12">
      <c r="A98" s="52"/>
      <c r="B98" s="73">
        <v>60.307549000000002</v>
      </c>
      <c r="C98" s="74">
        <v>7.144230137741136E-5</v>
      </c>
      <c r="D98" s="52">
        <f t="shared" si="53"/>
        <v>8.0195004922374561E-5</v>
      </c>
      <c r="E98" s="52">
        <f t="shared" si="50"/>
        <v>-4.1460445639261696</v>
      </c>
      <c r="F98" s="52">
        <f t="shared" si="51"/>
        <v>-4.0958526816186831</v>
      </c>
      <c r="G98" s="52">
        <f t="shared" si="52"/>
        <v>1.2254318260209165</v>
      </c>
      <c r="H98" s="52">
        <f t="shared" si="37"/>
        <v>1.2254318260209165</v>
      </c>
      <c r="I98" s="52"/>
      <c r="J98" s="52"/>
      <c r="K98" s="52"/>
      <c r="L98" s="52"/>
    </row>
    <row r="99" spans="1:12">
      <c r="A99" s="52"/>
      <c r="B99" s="73">
        <v>5.8528944799999998</v>
      </c>
      <c r="C99" s="74">
        <v>6.1233615302696233E-5</v>
      </c>
      <c r="D99" s="52">
        <f t="shared" si="53"/>
        <v>8.0195004218996084E-5</v>
      </c>
      <c r="E99" s="52">
        <f t="shared" si="50"/>
        <v>-4.2130100985642667</v>
      </c>
      <c r="F99" s="52">
        <f t="shared" si="51"/>
        <v>-4.0958526854278157</v>
      </c>
      <c r="G99" s="52">
        <f t="shared" si="52"/>
        <v>2.860391281973409</v>
      </c>
      <c r="H99" s="52">
        <f t="shared" si="37"/>
        <v>2.860391281973409</v>
      </c>
      <c r="I99" s="52"/>
      <c r="J99" s="52"/>
      <c r="K99" s="52"/>
      <c r="L99" s="52"/>
    </row>
    <row r="100" spans="1:12">
      <c r="A100" s="52"/>
      <c r="B100" s="75">
        <v>32.877257999999998</v>
      </c>
      <c r="C100" s="74">
        <v>1.1967928935617715E-4</v>
      </c>
      <c r="D100" s="52">
        <f t="shared" si="53"/>
        <v>8.0195008245903025E-5</v>
      </c>
      <c r="E100" s="52">
        <f t="shared" si="50"/>
        <v>-3.9219809982697806</v>
      </c>
      <c r="F100" s="52">
        <f t="shared" si="51"/>
        <v>-4.09585266362018</v>
      </c>
      <c r="G100" s="52">
        <f t="shared" si="52"/>
        <v>-4.2450664032607142</v>
      </c>
      <c r="H100" s="52">
        <f t="shared" si="37"/>
        <v>4.2450664032607142</v>
      </c>
      <c r="I100" s="52"/>
      <c r="J100" s="52"/>
      <c r="K100" s="52"/>
      <c r="L100" s="52"/>
    </row>
    <row r="101" spans="1:12">
      <c r="A101" s="52" t="s">
        <v>22</v>
      </c>
      <c r="B101" s="52">
        <v>34.268722250000003</v>
      </c>
      <c r="C101" s="52">
        <v>1.9976813790736702E-5</v>
      </c>
      <c r="D101" s="52">
        <f>(1.3178*(B101)-8.052)/1000000</f>
        <v>3.7107322181050009E-5</v>
      </c>
      <c r="E101" s="52">
        <f>LOG10(C101)</f>
        <v>-4.6994737785447951</v>
      </c>
      <c r="F101" s="52">
        <f>LOG10(D101)</f>
        <v>-4.4305403850194356</v>
      </c>
      <c r="G101" s="52">
        <f>((E101-F101)/F101)*100</f>
        <v>6.0699907946822558</v>
      </c>
      <c r="H101" s="52">
        <f t="shared" si="37"/>
        <v>6.0699907946822558</v>
      </c>
      <c r="I101" s="52"/>
      <c r="J101" s="52"/>
      <c r="K101" s="52"/>
      <c r="L101" s="52"/>
    </row>
    <row r="102" spans="1:12">
      <c r="A102" s="52"/>
      <c r="B102" s="52">
        <v>14.555016</v>
      </c>
      <c r="C102" s="52">
        <v>2.6616529565607783E-5</v>
      </c>
      <c r="D102" s="52">
        <f t="shared" ref="D102:D108" si="54">(1.3178*(B102)-8.052)/1000000</f>
        <v>1.1128600084800003E-5</v>
      </c>
      <c r="E102" s="52">
        <f t="shared" ref="E102:E108" si="55">LOG10(C102)</f>
        <v>-4.5748485712790998</v>
      </c>
      <c r="F102" s="52">
        <f t="shared" ref="F102:F108" si="56">LOG10(D102)</f>
        <v>-4.9535594640287091</v>
      </c>
      <c r="G102" s="52">
        <f t="shared" ref="G102:G108" si="57">((E102-F102)/F102)*100</f>
        <v>-7.6452275479823406</v>
      </c>
      <c r="H102" s="52">
        <f t="shared" si="37"/>
        <v>7.6452275479823406</v>
      </c>
      <c r="I102" s="52"/>
      <c r="J102" s="52"/>
      <c r="K102" s="52"/>
      <c r="L102" s="52"/>
    </row>
    <row r="103" spans="1:12">
      <c r="A103" s="52"/>
      <c r="B103" s="52">
        <v>36.618251999999998</v>
      </c>
      <c r="C103" s="52">
        <v>5.839257249285226E-6</v>
      </c>
      <c r="D103" s="52">
        <f t="shared" si="54"/>
        <v>4.0203532485600001E-5</v>
      </c>
      <c r="E103" s="52">
        <f t="shared" si="55"/>
        <v>-5.2336423914238202</v>
      </c>
      <c r="F103" s="52">
        <f t="shared" si="56"/>
        <v>-4.3957357859303832</v>
      </c>
      <c r="G103" s="52">
        <f t="shared" si="57"/>
        <v>19.061805492845131</v>
      </c>
      <c r="H103" s="52">
        <f t="shared" si="37"/>
        <v>19.061805492845131</v>
      </c>
      <c r="I103" s="52"/>
      <c r="J103" s="52"/>
      <c r="K103" s="52"/>
      <c r="L103" s="52"/>
    </row>
    <row r="104" spans="1:12">
      <c r="A104" s="52"/>
      <c r="B104" s="86">
        <v>4.5521736600000002</v>
      </c>
      <c r="C104" s="52">
        <v>1.2934337783363732E-5</v>
      </c>
      <c r="D104" s="52">
        <f>ABS(1.3178*(B104)-8.052)/1000000</f>
        <v>2.0531455508519992E-6</v>
      </c>
      <c r="E104" s="52">
        <f>LOG10(C104)</f>
        <v>-4.8882558015352284</v>
      </c>
      <c r="F104" s="52">
        <f t="shared" si="56"/>
        <v>-5.6875802616906803</v>
      </c>
      <c r="G104" s="52">
        <f t="shared" si="57"/>
        <v>-14.053858115012272</v>
      </c>
      <c r="H104" s="52">
        <f t="shared" si="37"/>
        <v>14.053858115012272</v>
      </c>
      <c r="I104" s="52"/>
      <c r="J104" s="52"/>
      <c r="K104" s="52"/>
      <c r="L104" s="52"/>
    </row>
    <row r="105" spans="1:12">
      <c r="A105" s="52"/>
      <c r="B105" s="87">
        <v>30.284672</v>
      </c>
      <c r="C105" s="52">
        <v>2.676753353111567E-5</v>
      </c>
      <c r="D105" s="52">
        <f t="shared" si="54"/>
        <v>3.1857140761599998E-5</v>
      </c>
      <c r="E105" s="52">
        <f t="shared" si="55"/>
        <v>-4.5723916446209074</v>
      </c>
      <c r="F105" s="52">
        <f t="shared" si="56"/>
        <v>-4.4967932055337156</v>
      </c>
      <c r="G105" s="52">
        <f t="shared" si="57"/>
        <v>1.68116334534043</v>
      </c>
      <c r="H105" s="52">
        <f t="shared" si="37"/>
        <v>1.68116334534043</v>
      </c>
      <c r="I105" s="52"/>
      <c r="J105" s="52"/>
      <c r="K105" s="52"/>
      <c r="L105" s="52"/>
    </row>
    <row r="106" spans="1:12">
      <c r="A106" s="52"/>
      <c r="B106" s="52">
        <v>61.25</v>
      </c>
      <c r="C106" s="52">
        <v>9.3917433320466574E-5</v>
      </c>
      <c r="D106" s="52">
        <f t="shared" si="54"/>
        <v>7.2663250000000009E-5</v>
      </c>
      <c r="E106" s="52">
        <f t="shared" si="55"/>
        <v>-4.0272537848144108</v>
      </c>
      <c r="F106" s="52">
        <f t="shared" si="56"/>
        <v>-4.1386851814044814</v>
      </c>
      <c r="G106" s="52">
        <f t="shared" si="57"/>
        <v>-2.6924347155164838</v>
      </c>
      <c r="H106" s="52">
        <f t="shared" si="37"/>
        <v>2.6924347155164838</v>
      </c>
      <c r="I106" s="52"/>
      <c r="J106" s="52"/>
      <c r="K106" s="52"/>
      <c r="L106" s="52"/>
    </row>
    <row r="107" spans="1:12">
      <c r="A107" s="52"/>
      <c r="B107" s="52">
        <v>92.65</v>
      </c>
      <c r="C107" s="52">
        <v>1.1534754923167326E-4</v>
      </c>
      <c r="D107" s="52">
        <f t="shared" si="54"/>
        <v>1.1404217000000003E-4</v>
      </c>
      <c r="E107" s="52">
        <f t="shared" si="55"/>
        <v>-3.9379916284204581</v>
      </c>
      <c r="F107" s="52">
        <f t="shared" si="56"/>
        <v>-3.9429345275072682</v>
      </c>
      <c r="G107" s="52">
        <f t="shared" si="57"/>
        <v>-0.12536092223512083</v>
      </c>
      <c r="H107" s="52">
        <f t="shared" si="37"/>
        <v>0.12536092223512083</v>
      </c>
      <c r="I107" s="52"/>
      <c r="J107" s="52"/>
      <c r="K107" s="52"/>
      <c r="L107" s="52"/>
    </row>
    <row r="108" spans="1:12">
      <c r="A108" s="52"/>
      <c r="B108" s="52">
        <v>79.78</v>
      </c>
      <c r="C108" s="52">
        <v>1.0062878299958567E-4</v>
      </c>
      <c r="D108" s="52">
        <f t="shared" si="54"/>
        <v>9.7082084000000006E-5</v>
      </c>
      <c r="E108" s="52">
        <f t="shared" si="55"/>
        <v>-3.9972777796182339</v>
      </c>
      <c r="F108" s="52">
        <f t="shared" si="56"/>
        <v>-4.0128609095137131</v>
      </c>
      <c r="G108" s="52">
        <f t="shared" si="57"/>
        <v>-0.38832967917065336</v>
      </c>
      <c r="H108" s="52">
        <f t="shared" si="37"/>
        <v>0.38832967917065336</v>
      </c>
      <c r="I108" s="52"/>
      <c r="J108" s="52"/>
      <c r="K108" s="52"/>
      <c r="L108" s="52"/>
    </row>
    <row r="111" spans="1:12">
      <c r="E111" s="1" t="s">
        <v>12</v>
      </c>
      <c r="F111" s="1"/>
      <c r="G111" s="1">
        <f>MAX(G6:G108)</f>
        <v>43.33648209880355</v>
      </c>
    </row>
    <row r="112" spans="1:12">
      <c r="E112" s="1" t="s">
        <v>13</v>
      </c>
      <c r="G112" s="1">
        <f>MIN(G6:G108)</f>
        <v>-24.565271921806374</v>
      </c>
    </row>
    <row r="113" spans="6:7">
      <c r="F113" t="s">
        <v>14</v>
      </c>
      <c r="G113">
        <f>AVERAGE(G5:G108)</f>
        <v>0.72450315816826472</v>
      </c>
    </row>
    <row r="114" spans="6:7">
      <c r="F114" t="s">
        <v>21</v>
      </c>
      <c r="G114">
        <f>MEDIAN(G5:G108)</f>
        <v>-0.13784861759462547</v>
      </c>
    </row>
    <row r="163" spans="21:26" ht="14.7" thickBot="1"/>
    <row r="164" spans="21:26">
      <c r="U164" s="16" t="s">
        <v>23</v>
      </c>
      <c r="V164" s="16" t="s">
        <v>25</v>
      </c>
      <c r="W164" s="16" t="s">
        <v>26</v>
      </c>
      <c r="X164" s="16" t="s">
        <v>23</v>
      </c>
      <c r="Y164" s="16" t="s">
        <v>25</v>
      </c>
      <c r="Z164" s="16" t="s">
        <v>26</v>
      </c>
    </row>
    <row r="165" spans="21:26">
      <c r="U165" s="10">
        <v>1.4574027199999999</v>
      </c>
      <c r="V165" s="11">
        <v>104</v>
      </c>
      <c r="W165" s="12">
        <v>1</v>
      </c>
      <c r="X165" s="10">
        <v>1.4574027199999999</v>
      </c>
      <c r="Y165" s="11">
        <v>104</v>
      </c>
      <c r="Z165" s="12">
        <v>1</v>
      </c>
    </row>
    <row r="166" spans="21:26">
      <c r="U166" s="10">
        <v>1.76712333</v>
      </c>
      <c r="V166" s="11">
        <v>0</v>
      </c>
      <c r="W166" s="12">
        <v>1</v>
      </c>
      <c r="X166" s="10">
        <v>1.76712333</v>
      </c>
      <c r="Y166" s="11">
        <v>0</v>
      </c>
      <c r="Z166" s="12">
        <v>1</v>
      </c>
    </row>
    <row r="167" spans="21:26">
      <c r="U167" s="10">
        <v>2.1166718900000001</v>
      </c>
      <c r="V167" s="11">
        <v>0</v>
      </c>
      <c r="W167" s="12">
        <v>1</v>
      </c>
      <c r="X167" s="10">
        <v>2.1166718900000001</v>
      </c>
      <c r="Y167" s="11">
        <v>0</v>
      </c>
      <c r="Z167" s="12">
        <v>1</v>
      </c>
    </row>
    <row r="168" spans="21:26">
      <c r="U168" s="10">
        <v>2.4853700000000001</v>
      </c>
      <c r="V168" s="11">
        <v>0</v>
      </c>
      <c r="W168" s="12">
        <v>1</v>
      </c>
      <c r="X168" s="10">
        <v>2.4853700000000001</v>
      </c>
      <c r="Y168" s="11">
        <v>0</v>
      </c>
      <c r="Z168" s="12">
        <v>1</v>
      </c>
    </row>
    <row r="169" spans="21:26">
      <c r="U169" s="10">
        <v>3.1677710000000001</v>
      </c>
      <c r="V169" s="11">
        <v>0</v>
      </c>
      <c r="W169" s="12">
        <v>1</v>
      </c>
      <c r="X169" s="10">
        <v>3.1677710000000001</v>
      </c>
      <c r="Y169" s="11">
        <v>0</v>
      </c>
      <c r="Z169" s="12">
        <v>1</v>
      </c>
    </row>
    <row r="170" spans="21:26">
      <c r="U170" s="10">
        <v>3.2959280899999999</v>
      </c>
      <c r="V170" s="11">
        <v>0</v>
      </c>
      <c r="W170" s="12">
        <v>1</v>
      </c>
      <c r="X170" s="10">
        <v>3.2959280899999999</v>
      </c>
      <c r="Y170" s="11">
        <v>0</v>
      </c>
      <c r="Z170" s="12">
        <v>1</v>
      </c>
    </row>
    <row r="171" spans="21:26">
      <c r="U171" s="10">
        <v>3.34037352</v>
      </c>
      <c r="V171" s="11">
        <v>0</v>
      </c>
      <c r="W171" s="12">
        <v>1</v>
      </c>
      <c r="X171" s="10">
        <v>3.34037352</v>
      </c>
      <c r="Y171" s="11">
        <v>0</v>
      </c>
      <c r="Z171" s="12">
        <v>1</v>
      </c>
    </row>
    <row r="172" spans="21:26">
      <c r="U172" s="10">
        <v>3.6403880000000002</v>
      </c>
      <c r="V172" s="11">
        <v>0</v>
      </c>
      <c r="W172" s="12">
        <v>1</v>
      </c>
      <c r="X172" s="10">
        <v>3.6403880000000002</v>
      </c>
      <c r="Y172" s="11">
        <v>0</v>
      </c>
      <c r="Z172" s="12">
        <v>1</v>
      </c>
    </row>
    <row r="173" spans="21:26">
      <c r="U173" s="10">
        <v>3.7291750000000001</v>
      </c>
      <c r="V173" s="11">
        <v>0</v>
      </c>
      <c r="W173" s="12">
        <v>1</v>
      </c>
      <c r="X173" s="10">
        <v>3.7291750000000001</v>
      </c>
      <c r="Y173" s="11">
        <v>0</v>
      </c>
      <c r="Z173" s="12">
        <v>1</v>
      </c>
    </row>
    <row r="174" spans="21:26">
      <c r="U174" s="10">
        <v>4.189559</v>
      </c>
      <c r="V174" s="11">
        <v>0</v>
      </c>
      <c r="W174" s="12">
        <v>1</v>
      </c>
      <c r="X174" s="10">
        <v>4.189559</v>
      </c>
      <c r="Y174" s="11">
        <v>0</v>
      </c>
      <c r="Z174" s="12">
        <v>1</v>
      </c>
    </row>
    <row r="175" spans="21:26">
      <c r="U175" s="10">
        <v>4.5521736600000002</v>
      </c>
      <c r="V175" s="11">
        <v>0</v>
      </c>
      <c r="W175" s="12">
        <v>1</v>
      </c>
      <c r="X175" s="10">
        <v>4.5521736600000002</v>
      </c>
      <c r="Y175" s="11">
        <v>0</v>
      </c>
      <c r="Z175" s="12">
        <v>1</v>
      </c>
    </row>
    <row r="176" spans="21:26">
      <c r="U176" s="10">
        <v>4.6997289999999996</v>
      </c>
      <c r="V176" s="11">
        <v>0</v>
      </c>
      <c r="W176" s="12">
        <v>1</v>
      </c>
      <c r="X176" s="10">
        <v>4.6997289999999996</v>
      </c>
      <c r="Y176" s="11">
        <v>0</v>
      </c>
      <c r="Z176" s="12">
        <v>1</v>
      </c>
    </row>
    <row r="177" spans="21:26">
      <c r="U177" s="10">
        <v>4.8828459999999998</v>
      </c>
      <c r="V177" s="11">
        <v>0</v>
      </c>
      <c r="W177" s="12">
        <v>1</v>
      </c>
      <c r="X177" s="10">
        <v>4.8828459999999998</v>
      </c>
      <c r="Y177" s="11">
        <v>0</v>
      </c>
      <c r="Z177" s="12">
        <v>1</v>
      </c>
    </row>
    <row r="178" spans="21:26">
      <c r="U178" s="10">
        <v>5.1039937399999999</v>
      </c>
      <c r="V178" s="11">
        <v>0</v>
      </c>
      <c r="W178" s="12">
        <v>1</v>
      </c>
      <c r="X178" s="10">
        <v>5.1039937399999999</v>
      </c>
      <c r="Y178" s="11">
        <v>0</v>
      </c>
      <c r="Z178" s="12">
        <v>1</v>
      </c>
    </row>
    <row r="179" spans="21:26">
      <c r="U179" s="10">
        <v>5.2517339300000003</v>
      </c>
      <c r="V179" s="11">
        <v>0</v>
      </c>
      <c r="W179" s="12">
        <v>1</v>
      </c>
      <c r="X179" s="10">
        <v>5.2517339300000003</v>
      </c>
      <c r="Y179" s="11">
        <v>0</v>
      </c>
      <c r="Z179" s="12">
        <v>1</v>
      </c>
    </row>
    <row r="180" spans="21:26">
      <c r="U180" s="10">
        <v>5.4426651499999998</v>
      </c>
      <c r="V180" s="11">
        <v>0</v>
      </c>
      <c r="W180" s="12">
        <v>1</v>
      </c>
      <c r="X180" s="10">
        <v>5.4426651499999998</v>
      </c>
      <c r="Y180" s="11">
        <v>0</v>
      </c>
      <c r="Z180" s="12">
        <v>1</v>
      </c>
    </row>
    <row r="181" spans="21:26">
      <c r="U181" s="10">
        <v>5.7709435500000001</v>
      </c>
      <c r="V181" s="11">
        <v>0</v>
      </c>
      <c r="W181" s="12">
        <v>1</v>
      </c>
      <c r="X181" s="10">
        <v>5.7709435500000001</v>
      </c>
      <c r="Y181" s="11">
        <v>0</v>
      </c>
      <c r="Z181" s="12">
        <v>1</v>
      </c>
    </row>
    <row r="182" spans="21:26">
      <c r="U182" s="10">
        <v>5.8528944799999998</v>
      </c>
      <c r="V182" s="11">
        <v>0</v>
      </c>
      <c r="W182" s="12">
        <v>1</v>
      </c>
      <c r="X182" s="10">
        <v>5.8528944799999998</v>
      </c>
      <c r="Y182" s="11">
        <v>0</v>
      </c>
      <c r="Z182" s="12">
        <v>1</v>
      </c>
    </row>
    <row r="183" spans="21:26">
      <c r="U183" s="10">
        <v>6.71872705</v>
      </c>
      <c r="V183" s="11">
        <v>0</v>
      </c>
      <c r="W183" s="12">
        <v>1</v>
      </c>
      <c r="X183" s="10">
        <v>6.71872705</v>
      </c>
      <c r="Y183" s="11">
        <v>0</v>
      </c>
      <c r="Z183" s="12">
        <v>1</v>
      </c>
    </row>
    <row r="184" spans="21:26">
      <c r="U184" s="10">
        <v>7.0308080000000004</v>
      </c>
      <c r="V184" s="11">
        <v>0</v>
      </c>
      <c r="W184" s="12">
        <v>1</v>
      </c>
      <c r="X184" s="10">
        <v>7.0308080000000004</v>
      </c>
      <c r="Y184" s="11">
        <v>0</v>
      </c>
      <c r="Z184" s="12">
        <v>1</v>
      </c>
    </row>
    <row r="185" spans="21:26">
      <c r="U185" s="10">
        <v>7.0773495400000002</v>
      </c>
      <c r="V185" s="11">
        <v>0</v>
      </c>
      <c r="W185" s="12">
        <v>1</v>
      </c>
      <c r="X185" s="10">
        <v>7.0773495400000002</v>
      </c>
      <c r="Y185" s="11">
        <v>0</v>
      </c>
      <c r="Z185" s="12">
        <v>1</v>
      </c>
    </row>
    <row r="186" spans="21:26">
      <c r="U186" s="10">
        <v>7.1984000000000004</v>
      </c>
      <c r="V186" s="11">
        <v>0</v>
      </c>
      <c r="W186" s="12">
        <v>1</v>
      </c>
      <c r="X186" s="10">
        <v>7.1984000000000004</v>
      </c>
      <c r="Y186" s="11">
        <v>0</v>
      </c>
      <c r="Z186" s="12">
        <v>1</v>
      </c>
    </row>
    <row r="187" spans="21:26">
      <c r="U187" s="10">
        <v>9.8721720000000008</v>
      </c>
      <c r="V187" s="11">
        <v>0</v>
      </c>
      <c r="W187" s="12">
        <v>1</v>
      </c>
      <c r="X187" s="10">
        <v>9.8721720000000008</v>
      </c>
      <c r="Y187" s="11">
        <v>0</v>
      </c>
      <c r="Z187" s="12">
        <v>1</v>
      </c>
    </row>
    <row r="188" spans="21:26">
      <c r="U188" s="10">
        <v>10.25729647</v>
      </c>
      <c r="V188" s="11">
        <v>0</v>
      </c>
      <c r="W188" s="12">
        <v>1</v>
      </c>
      <c r="X188" s="10">
        <v>10.25729647</v>
      </c>
      <c r="Y188" s="11">
        <v>0</v>
      </c>
      <c r="Z188" s="12">
        <v>1</v>
      </c>
    </row>
    <row r="189" spans="21:26">
      <c r="U189" s="10">
        <v>10.343832450000001</v>
      </c>
      <c r="V189" s="11">
        <v>0</v>
      </c>
      <c r="W189" s="12">
        <v>1</v>
      </c>
      <c r="X189" s="10">
        <v>10.343832450000001</v>
      </c>
      <c r="Y189" s="11">
        <v>0</v>
      </c>
      <c r="Z189" s="12">
        <v>1</v>
      </c>
    </row>
    <row r="190" spans="21:26">
      <c r="U190" s="10">
        <v>10.39838804</v>
      </c>
      <c r="V190" s="11">
        <v>0</v>
      </c>
      <c r="W190" s="12">
        <v>1</v>
      </c>
      <c r="X190" s="10">
        <v>10.39838804</v>
      </c>
      <c r="Y190" s="11">
        <v>0</v>
      </c>
      <c r="Z190" s="12">
        <v>1</v>
      </c>
    </row>
    <row r="191" spans="21:26">
      <c r="U191" s="10">
        <v>10.469856</v>
      </c>
      <c r="V191" s="11">
        <v>0</v>
      </c>
      <c r="W191" s="12">
        <v>1</v>
      </c>
      <c r="X191" s="10">
        <v>10.469856</v>
      </c>
      <c r="Y191" s="11">
        <v>0</v>
      </c>
      <c r="Z191" s="12">
        <v>1</v>
      </c>
    </row>
    <row r="192" spans="21:26">
      <c r="U192" s="10">
        <v>10.545187</v>
      </c>
      <c r="V192" s="11">
        <v>0</v>
      </c>
      <c r="W192" s="12">
        <v>1</v>
      </c>
      <c r="X192" s="10">
        <v>10.545187</v>
      </c>
      <c r="Y192" s="11">
        <v>0</v>
      </c>
      <c r="Z192" s="12">
        <v>1</v>
      </c>
    </row>
    <row r="193" spans="21:26">
      <c r="U193" s="10">
        <v>10.712316</v>
      </c>
      <c r="V193" s="11">
        <v>0</v>
      </c>
      <c r="W193" s="12">
        <v>1</v>
      </c>
      <c r="X193" s="10">
        <v>10.712316</v>
      </c>
      <c r="Y193" s="11">
        <v>0</v>
      </c>
      <c r="Z193" s="12">
        <v>1</v>
      </c>
    </row>
    <row r="194" spans="21:26">
      <c r="U194" s="10">
        <v>10.728151739999999</v>
      </c>
      <c r="V194" s="11">
        <v>0</v>
      </c>
      <c r="W194" s="12">
        <v>1</v>
      </c>
      <c r="X194" s="10">
        <v>10.728151739999999</v>
      </c>
      <c r="Y194" s="11">
        <v>0</v>
      </c>
      <c r="Z194" s="12">
        <v>1</v>
      </c>
    </row>
    <row r="195" spans="21:26">
      <c r="U195" s="10">
        <v>11.112717</v>
      </c>
      <c r="V195" s="11">
        <v>0</v>
      </c>
      <c r="W195" s="12">
        <v>1</v>
      </c>
      <c r="X195" s="10">
        <v>11.112717</v>
      </c>
      <c r="Y195" s="11">
        <v>0</v>
      </c>
      <c r="Z195" s="12">
        <v>1</v>
      </c>
    </row>
    <row r="196" spans="21:26">
      <c r="U196" s="10">
        <v>11.654833</v>
      </c>
      <c r="V196" s="11">
        <v>0</v>
      </c>
      <c r="W196" s="12">
        <v>1</v>
      </c>
      <c r="X196" s="10">
        <v>11.654833</v>
      </c>
      <c r="Y196" s="11">
        <v>0</v>
      </c>
      <c r="Z196" s="12">
        <v>1</v>
      </c>
    </row>
    <row r="197" spans="21:26">
      <c r="U197" s="10">
        <v>11.750446</v>
      </c>
      <c r="V197" s="11">
        <v>0</v>
      </c>
      <c r="W197" s="12">
        <v>1</v>
      </c>
      <c r="X197" s="10">
        <v>11.750446</v>
      </c>
      <c r="Y197" s="11">
        <v>0</v>
      </c>
      <c r="Z197" s="12">
        <v>1</v>
      </c>
    </row>
    <row r="198" spans="21:26">
      <c r="U198" s="10">
        <v>12.807232000000001</v>
      </c>
      <c r="V198" s="11">
        <v>0</v>
      </c>
      <c r="W198" s="12">
        <v>1</v>
      </c>
      <c r="X198" s="10">
        <v>12.807232000000001</v>
      </c>
      <c r="Y198" s="11">
        <v>0</v>
      </c>
      <c r="Z198" s="12">
        <v>1</v>
      </c>
    </row>
    <row r="199" spans="21:26">
      <c r="U199" s="10">
        <v>13.680125</v>
      </c>
      <c r="V199" s="11">
        <v>0</v>
      </c>
      <c r="W199" s="12">
        <v>1</v>
      </c>
      <c r="X199" s="10">
        <v>13.680125</v>
      </c>
      <c r="Y199" s="11">
        <v>0</v>
      </c>
      <c r="Z199" s="12">
        <v>1</v>
      </c>
    </row>
    <row r="200" spans="21:26">
      <c r="U200" s="10">
        <v>13.897366</v>
      </c>
      <c r="V200" s="11">
        <v>0</v>
      </c>
      <c r="W200" s="12">
        <v>1</v>
      </c>
      <c r="X200" s="10">
        <v>13.897366</v>
      </c>
      <c r="Y200" s="11">
        <v>0</v>
      </c>
      <c r="Z200" s="12">
        <v>1</v>
      </c>
    </row>
    <row r="201" spans="21:26">
      <c r="U201" s="10">
        <v>14.187999</v>
      </c>
      <c r="V201" s="11">
        <v>0</v>
      </c>
      <c r="W201" s="12">
        <v>1</v>
      </c>
      <c r="X201" s="10">
        <v>14.187999</v>
      </c>
      <c r="Y201" s="11">
        <v>0</v>
      </c>
      <c r="Z201" s="12">
        <v>1</v>
      </c>
    </row>
    <row r="202" spans="21:26">
      <c r="U202" s="10">
        <v>14.555016</v>
      </c>
      <c r="V202" s="11">
        <v>0</v>
      </c>
      <c r="W202" s="12">
        <v>1</v>
      </c>
      <c r="X202" s="10">
        <v>14.555016</v>
      </c>
      <c r="Y202" s="11">
        <v>0</v>
      </c>
      <c r="Z202" s="12">
        <v>1</v>
      </c>
    </row>
    <row r="203" spans="21:26">
      <c r="U203" s="10">
        <v>15.71209</v>
      </c>
      <c r="V203" s="11">
        <v>0</v>
      </c>
      <c r="W203" s="12">
        <v>1</v>
      </c>
      <c r="X203" s="10">
        <v>15.71209</v>
      </c>
      <c r="Y203" s="11">
        <v>0</v>
      </c>
      <c r="Z203" s="12">
        <v>1</v>
      </c>
    </row>
    <row r="204" spans="21:26">
      <c r="U204" s="10">
        <v>15.793355050000001</v>
      </c>
      <c r="V204" s="11">
        <v>0</v>
      </c>
      <c r="W204" s="12">
        <v>1</v>
      </c>
      <c r="X204" s="10">
        <v>15.793355050000001</v>
      </c>
      <c r="Y204" s="11">
        <v>0</v>
      </c>
      <c r="Z204" s="12">
        <v>1</v>
      </c>
    </row>
    <row r="205" spans="21:26">
      <c r="U205" s="10">
        <v>16.233042000000001</v>
      </c>
      <c r="V205" s="11">
        <v>0</v>
      </c>
      <c r="W205" s="12">
        <v>1</v>
      </c>
      <c r="X205" s="10">
        <v>16.233042000000001</v>
      </c>
      <c r="Y205" s="11">
        <v>0</v>
      </c>
      <c r="Z205" s="12">
        <v>1</v>
      </c>
    </row>
    <row r="206" spans="21:26">
      <c r="U206" s="10">
        <v>16.551247</v>
      </c>
      <c r="V206" s="11">
        <v>0</v>
      </c>
      <c r="W206" s="12">
        <v>1</v>
      </c>
      <c r="X206" s="10">
        <v>16.551247</v>
      </c>
      <c r="Y206" s="11">
        <v>0</v>
      </c>
      <c r="Z206" s="12">
        <v>1</v>
      </c>
    </row>
    <row r="207" spans="21:26">
      <c r="U207" s="10">
        <v>17.045695510000002</v>
      </c>
      <c r="V207" s="11">
        <v>0</v>
      </c>
      <c r="W207" s="12">
        <v>1</v>
      </c>
      <c r="X207" s="10">
        <v>17.045695510000002</v>
      </c>
      <c r="Y207" s="11">
        <v>0</v>
      </c>
      <c r="Z207" s="12">
        <v>1</v>
      </c>
    </row>
    <row r="208" spans="21:26">
      <c r="U208" s="10">
        <v>17.62</v>
      </c>
      <c r="V208" s="11">
        <v>0</v>
      </c>
      <c r="W208" s="12">
        <v>1</v>
      </c>
      <c r="X208" s="10">
        <v>17.62</v>
      </c>
      <c r="Y208" s="11">
        <v>0</v>
      </c>
      <c r="Z208" s="12">
        <v>1</v>
      </c>
    </row>
    <row r="209" spans="21:26">
      <c r="U209" s="10">
        <v>18.020671279999998</v>
      </c>
      <c r="V209" s="11">
        <v>0</v>
      </c>
      <c r="W209" s="12">
        <v>1</v>
      </c>
      <c r="X209" s="10">
        <v>18.020671279999998</v>
      </c>
      <c r="Y209" s="11">
        <v>0</v>
      </c>
      <c r="Z209" s="12">
        <v>1</v>
      </c>
    </row>
    <row r="210" spans="21:26">
      <c r="U210" s="10">
        <v>18.279710999999999</v>
      </c>
      <c r="V210" s="11">
        <v>0</v>
      </c>
      <c r="W210" s="12">
        <v>1</v>
      </c>
      <c r="X210" s="10">
        <v>18.279710999999999</v>
      </c>
      <c r="Y210" s="11">
        <v>0</v>
      </c>
      <c r="Z210" s="12">
        <v>1</v>
      </c>
    </row>
    <row r="211" spans="21:26">
      <c r="U211" s="10">
        <v>18.408000000000001</v>
      </c>
      <c r="V211" s="11">
        <v>0</v>
      </c>
      <c r="W211" s="12">
        <v>1</v>
      </c>
      <c r="X211" s="10">
        <v>18.408000000000001</v>
      </c>
      <c r="Y211" s="11">
        <v>0</v>
      </c>
      <c r="Z211" s="12">
        <v>1</v>
      </c>
    </row>
    <row r="212" spans="21:26">
      <c r="U212" s="10">
        <v>18.79</v>
      </c>
      <c r="V212" s="11">
        <v>0</v>
      </c>
      <c r="W212" s="12">
        <v>1</v>
      </c>
      <c r="X212" s="10">
        <v>18.79</v>
      </c>
      <c r="Y212" s="11">
        <v>0</v>
      </c>
      <c r="Z212" s="12">
        <v>1</v>
      </c>
    </row>
    <row r="213" spans="21:26">
      <c r="U213" s="10">
        <v>19.614048</v>
      </c>
      <c r="V213" s="11">
        <v>0</v>
      </c>
      <c r="W213" s="12">
        <v>1</v>
      </c>
      <c r="X213" s="10">
        <v>19.614048</v>
      </c>
      <c r="Y213" s="11">
        <v>0</v>
      </c>
      <c r="Z213" s="12">
        <v>1</v>
      </c>
    </row>
    <row r="214" spans="21:26">
      <c r="U214" s="10">
        <v>20.492654999999999</v>
      </c>
      <c r="V214" s="11">
        <v>0</v>
      </c>
      <c r="W214" s="12">
        <v>1</v>
      </c>
      <c r="X214" s="10">
        <v>20.492654999999999</v>
      </c>
      <c r="Y214" s="11">
        <v>0</v>
      </c>
      <c r="Z214" s="12">
        <v>1</v>
      </c>
    </row>
    <row r="215" spans="21:26">
      <c r="U215" s="10">
        <v>20.90940535</v>
      </c>
      <c r="V215" s="11">
        <v>0</v>
      </c>
      <c r="W215" s="12">
        <v>1</v>
      </c>
      <c r="X215" s="10">
        <v>20.90940535</v>
      </c>
      <c r="Y215" s="11">
        <v>0</v>
      </c>
      <c r="Z215" s="12">
        <v>1</v>
      </c>
    </row>
    <row r="216" spans="21:26">
      <c r="U216" s="10">
        <v>21.82254</v>
      </c>
      <c r="V216" s="11">
        <v>0</v>
      </c>
      <c r="W216" s="12">
        <v>1</v>
      </c>
      <c r="X216" s="10">
        <v>21.82254</v>
      </c>
      <c r="Y216" s="11">
        <v>0</v>
      </c>
      <c r="Z216" s="12">
        <v>1</v>
      </c>
    </row>
    <row r="217" spans="21:26">
      <c r="U217" s="10">
        <v>23.82</v>
      </c>
      <c r="V217" s="11">
        <v>0</v>
      </c>
      <c r="W217" s="12">
        <v>1</v>
      </c>
      <c r="X217" s="10">
        <v>23.82</v>
      </c>
      <c r="Y217" s="11">
        <v>0</v>
      </c>
      <c r="Z217" s="12">
        <v>1</v>
      </c>
    </row>
    <row r="218" spans="21:26">
      <c r="U218" s="10">
        <v>24.187605000000001</v>
      </c>
      <c r="V218" s="11">
        <v>0</v>
      </c>
      <c r="W218" s="12">
        <v>1</v>
      </c>
      <c r="X218" s="10">
        <v>24.187605000000001</v>
      </c>
      <c r="Y218" s="11">
        <v>0</v>
      </c>
      <c r="Z218" s="12">
        <v>1</v>
      </c>
    </row>
    <row r="219" spans="21:26">
      <c r="U219" s="10">
        <v>24.187605000000001</v>
      </c>
      <c r="V219" s="11">
        <v>0</v>
      </c>
      <c r="W219" s="12">
        <v>1</v>
      </c>
      <c r="X219" s="10">
        <v>24.187605000000001</v>
      </c>
      <c r="Y219" s="11">
        <v>0</v>
      </c>
      <c r="Z219" s="12">
        <v>1</v>
      </c>
    </row>
    <row r="220" spans="21:26">
      <c r="U220" s="10">
        <v>24.3651768</v>
      </c>
      <c r="V220" s="11">
        <v>0</v>
      </c>
      <c r="W220" s="12">
        <v>1</v>
      </c>
      <c r="X220" s="10">
        <v>24.3651768</v>
      </c>
      <c r="Y220" s="11">
        <v>0</v>
      </c>
      <c r="Z220" s="12">
        <v>1</v>
      </c>
    </row>
    <row r="221" spans="21:26">
      <c r="U221" s="10">
        <v>27.957999999999998</v>
      </c>
      <c r="V221" s="11">
        <v>0</v>
      </c>
      <c r="W221" s="12">
        <v>1</v>
      </c>
      <c r="X221" s="10">
        <v>27.957999999999998</v>
      </c>
      <c r="Y221" s="11">
        <v>0</v>
      </c>
      <c r="Z221" s="12">
        <v>1</v>
      </c>
    </row>
    <row r="222" spans="21:26">
      <c r="U222" s="10">
        <v>27.957999999999998</v>
      </c>
      <c r="V222" s="11">
        <v>0</v>
      </c>
      <c r="W222" s="12">
        <v>1</v>
      </c>
      <c r="X222" s="10">
        <v>27.957999999999998</v>
      </c>
      <c r="Y222" s="11">
        <v>0</v>
      </c>
      <c r="Z222" s="12">
        <v>1</v>
      </c>
    </row>
    <row r="223" spans="21:26">
      <c r="U223" s="10">
        <v>28.85</v>
      </c>
      <c r="V223" s="11">
        <v>0</v>
      </c>
      <c r="W223" s="12">
        <v>1</v>
      </c>
      <c r="X223" s="10">
        <v>28.85</v>
      </c>
      <c r="Y223" s="11">
        <v>0</v>
      </c>
      <c r="Z223" s="12">
        <v>1</v>
      </c>
    </row>
    <row r="224" spans="21:26">
      <c r="U224" s="10">
        <v>29.487005</v>
      </c>
      <c r="V224" s="11">
        <v>0</v>
      </c>
      <c r="W224" s="12">
        <v>1</v>
      </c>
      <c r="X224" s="10">
        <v>29.487005</v>
      </c>
      <c r="Y224" s="11">
        <v>0</v>
      </c>
      <c r="Z224" s="12">
        <v>1</v>
      </c>
    </row>
    <row r="225" spans="21:26">
      <c r="U225" s="10">
        <v>30.284672</v>
      </c>
      <c r="V225" s="11">
        <v>0</v>
      </c>
      <c r="W225" s="12">
        <v>1</v>
      </c>
      <c r="X225" s="10">
        <v>30.284672</v>
      </c>
      <c r="Y225" s="11">
        <v>0</v>
      </c>
      <c r="Z225" s="12">
        <v>1</v>
      </c>
    </row>
    <row r="226" spans="21:26">
      <c r="U226" s="10">
        <v>31.050861000000001</v>
      </c>
      <c r="V226" s="11">
        <v>0</v>
      </c>
      <c r="W226" s="12">
        <v>1</v>
      </c>
      <c r="X226" s="10">
        <v>31.050861000000001</v>
      </c>
      <c r="Y226" s="11">
        <v>0</v>
      </c>
      <c r="Z226" s="12">
        <v>1</v>
      </c>
    </row>
    <row r="227" spans="21:26">
      <c r="U227" s="10">
        <v>32.877257999999998</v>
      </c>
      <c r="V227" s="11">
        <v>0</v>
      </c>
      <c r="W227" s="12">
        <v>1</v>
      </c>
      <c r="X227" s="10">
        <v>32.877257999999998</v>
      </c>
      <c r="Y227" s="11">
        <v>0</v>
      </c>
      <c r="Z227" s="12">
        <v>1</v>
      </c>
    </row>
    <row r="228" spans="21:26">
      <c r="U228" s="10">
        <v>33.360999999999997</v>
      </c>
      <c r="V228" s="11">
        <v>0</v>
      </c>
      <c r="W228" s="12">
        <v>1</v>
      </c>
      <c r="X228" s="10">
        <v>33.360999999999997</v>
      </c>
      <c r="Y228" s="11">
        <v>0</v>
      </c>
      <c r="Z228" s="12">
        <v>1</v>
      </c>
    </row>
    <row r="229" spans="21:26">
      <c r="U229" s="10">
        <v>34.268722250000003</v>
      </c>
      <c r="V229" s="11">
        <v>0</v>
      </c>
      <c r="W229" s="12">
        <v>1</v>
      </c>
      <c r="X229" s="10">
        <v>34.268722250000003</v>
      </c>
      <c r="Y229" s="11">
        <v>0</v>
      </c>
      <c r="Z229" s="12">
        <v>1</v>
      </c>
    </row>
    <row r="230" spans="21:26">
      <c r="U230" s="10">
        <v>34.354126000000001</v>
      </c>
      <c r="V230" s="11">
        <v>0</v>
      </c>
      <c r="W230" s="12">
        <v>1</v>
      </c>
      <c r="X230" s="10">
        <v>34.354126000000001</v>
      </c>
      <c r="Y230" s="11">
        <v>0</v>
      </c>
      <c r="Z230" s="12">
        <v>1</v>
      </c>
    </row>
    <row r="231" spans="21:26">
      <c r="U231" s="10">
        <v>34.986052999999998</v>
      </c>
      <c r="V231" s="11">
        <v>0</v>
      </c>
      <c r="W231" s="12">
        <v>1</v>
      </c>
      <c r="X231" s="10">
        <v>34.986052999999998</v>
      </c>
      <c r="Y231" s="11">
        <v>0</v>
      </c>
      <c r="Z231" s="12">
        <v>1</v>
      </c>
    </row>
    <row r="232" spans="21:26">
      <c r="U232" s="10">
        <v>35.730290740000001</v>
      </c>
      <c r="V232" s="11">
        <v>0</v>
      </c>
      <c r="W232" s="12">
        <v>1</v>
      </c>
      <c r="X232" s="10">
        <v>35.730290740000001</v>
      </c>
      <c r="Y232" s="11">
        <v>0</v>
      </c>
      <c r="Z232" s="12">
        <v>1</v>
      </c>
    </row>
    <row r="233" spans="21:26">
      <c r="U233" s="10">
        <v>36.618251999999998</v>
      </c>
      <c r="V233" s="11">
        <v>0</v>
      </c>
      <c r="W233" s="12">
        <v>1</v>
      </c>
      <c r="X233" s="10">
        <v>36.618251999999998</v>
      </c>
      <c r="Y233" s="11">
        <v>0</v>
      </c>
      <c r="Z233" s="12">
        <v>1</v>
      </c>
    </row>
    <row r="234" spans="21:26">
      <c r="U234" s="10">
        <v>37.28</v>
      </c>
      <c r="V234" s="11">
        <v>0</v>
      </c>
      <c r="W234" s="12">
        <v>1</v>
      </c>
      <c r="X234" s="10">
        <v>37.28</v>
      </c>
      <c r="Y234" s="11">
        <v>0</v>
      </c>
      <c r="Z234" s="12">
        <v>1</v>
      </c>
    </row>
    <row r="235" spans="21:26">
      <c r="U235" s="10">
        <v>39.100773099999998</v>
      </c>
      <c r="V235" s="11">
        <v>0</v>
      </c>
      <c r="W235" s="12">
        <v>1</v>
      </c>
      <c r="X235" s="10">
        <v>39.100773099999998</v>
      </c>
      <c r="Y235" s="11">
        <v>0</v>
      </c>
      <c r="Z235" s="12">
        <v>1</v>
      </c>
    </row>
    <row r="236" spans="21:26">
      <c r="U236" s="10">
        <v>39.92</v>
      </c>
      <c r="V236" s="11">
        <v>0</v>
      </c>
      <c r="W236" s="12">
        <v>1</v>
      </c>
      <c r="X236" s="10">
        <v>39.92</v>
      </c>
      <c r="Y236" s="11">
        <v>0</v>
      </c>
      <c r="Z236" s="12">
        <v>1</v>
      </c>
    </row>
    <row r="237" spans="21:26">
      <c r="U237" s="10">
        <v>40.299999999999997</v>
      </c>
      <c r="V237" s="11">
        <v>0</v>
      </c>
      <c r="W237" s="12">
        <v>1</v>
      </c>
      <c r="X237" s="10">
        <v>40.299999999999997</v>
      </c>
      <c r="Y237" s="11">
        <v>0</v>
      </c>
      <c r="Z237" s="12">
        <v>1</v>
      </c>
    </row>
    <row r="238" spans="21:26">
      <c r="U238" s="10">
        <v>40.698</v>
      </c>
      <c r="V238" s="11">
        <v>0</v>
      </c>
      <c r="W238" s="12">
        <v>1</v>
      </c>
      <c r="X238" s="10">
        <v>40.698</v>
      </c>
      <c r="Y238" s="11">
        <v>0</v>
      </c>
      <c r="Z238" s="12">
        <v>1</v>
      </c>
    </row>
    <row r="239" spans="21:26">
      <c r="U239" s="10">
        <v>41.683446230000001</v>
      </c>
      <c r="V239" s="11">
        <v>0</v>
      </c>
      <c r="W239" s="12">
        <v>1</v>
      </c>
      <c r="X239" s="10">
        <v>41.683446230000001</v>
      </c>
      <c r="Y239" s="11">
        <v>0</v>
      </c>
      <c r="Z239" s="12">
        <v>1</v>
      </c>
    </row>
    <row r="240" spans="21:26">
      <c r="U240" s="10">
        <v>45.86</v>
      </c>
      <c r="V240" s="11">
        <v>0</v>
      </c>
      <c r="W240" s="12">
        <v>1</v>
      </c>
      <c r="X240" s="10">
        <v>45.86</v>
      </c>
      <c r="Y240" s="11">
        <v>0</v>
      </c>
      <c r="Z240" s="12">
        <v>1</v>
      </c>
    </row>
    <row r="241" spans="21:26">
      <c r="U241" s="10">
        <v>46.633232</v>
      </c>
      <c r="V241" s="11">
        <v>0</v>
      </c>
      <c r="W241" s="12">
        <v>1</v>
      </c>
      <c r="X241" s="10">
        <v>46.633232</v>
      </c>
      <c r="Y241" s="11">
        <v>0</v>
      </c>
      <c r="Z241" s="12">
        <v>1</v>
      </c>
    </row>
    <row r="242" spans="21:26">
      <c r="U242" s="10">
        <v>46.633232</v>
      </c>
      <c r="V242" s="11">
        <v>0</v>
      </c>
      <c r="W242" s="12">
        <v>1</v>
      </c>
      <c r="X242" s="10">
        <v>46.633232</v>
      </c>
      <c r="Y242" s="11">
        <v>0</v>
      </c>
      <c r="Z242" s="12">
        <v>1</v>
      </c>
    </row>
    <row r="243" spans="21:26">
      <c r="U243" s="10">
        <v>53.24</v>
      </c>
      <c r="V243" s="11">
        <v>0</v>
      </c>
      <c r="W243" s="12">
        <v>1</v>
      </c>
      <c r="X243" s="10">
        <v>53.24</v>
      </c>
      <c r="Y243" s="11">
        <v>0</v>
      </c>
      <c r="Z243" s="12">
        <v>1</v>
      </c>
    </row>
    <row r="244" spans="21:26">
      <c r="U244" s="10">
        <v>56.790806000000003</v>
      </c>
      <c r="V244" s="11">
        <v>0</v>
      </c>
      <c r="W244" s="12">
        <v>1</v>
      </c>
      <c r="X244" s="10">
        <v>56.790806000000003</v>
      </c>
      <c r="Y244" s="11">
        <v>0</v>
      </c>
      <c r="Z244" s="12">
        <v>1</v>
      </c>
    </row>
    <row r="245" spans="21:26">
      <c r="U245" s="10">
        <v>58.904677999999997</v>
      </c>
      <c r="V245" s="11">
        <v>0</v>
      </c>
      <c r="W245" s="12">
        <v>1</v>
      </c>
      <c r="X245" s="10">
        <v>58.904677999999997</v>
      </c>
      <c r="Y245" s="11">
        <v>0</v>
      </c>
      <c r="Z245" s="12">
        <v>1</v>
      </c>
    </row>
    <row r="246" spans="21:26">
      <c r="U246" s="10">
        <v>60.307549000000002</v>
      </c>
      <c r="V246" s="11">
        <v>0</v>
      </c>
      <c r="W246" s="12">
        <v>1</v>
      </c>
      <c r="X246" s="10">
        <v>60.307549000000002</v>
      </c>
      <c r="Y246" s="11">
        <v>0</v>
      </c>
      <c r="Z246" s="12">
        <v>1</v>
      </c>
    </row>
    <row r="247" spans="21:26">
      <c r="U247" s="10">
        <v>61.25</v>
      </c>
      <c r="V247" s="11">
        <v>0</v>
      </c>
      <c r="W247" s="12">
        <v>1</v>
      </c>
      <c r="X247" s="10">
        <v>61.25</v>
      </c>
      <c r="Y247" s="11">
        <v>0</v>
      </c>
      <c r="Z247" s="12">
        <v>1</v>
      </c>
    </row>
    <row r="248" spans="21:26">
      <c r="U248" s="10">
        <v>63.051464000000003</v>
      </c>
      <c r="V248" s="11">
        <v>0</v>
      </c>
      <c r="W248" s="12">
        <v>1</v>
      </c>
      <c r="X248" s="10">
        <v>63.051464000000003</v>
      </c>
      <c r="Y248" s="11">
        <v>0</v>
      </c>
      <c r="Z248" s="12">
        <v>1</v>
      </c>
    </row>
    <row r="249" spans="21:26">
      <c r="U249" s="10">
        <v>66.611000000000004</v>
      </c>
      <c r="V249" s="11">
        <v>0</v>
      </c>
      <c r="W249" s="12">
        <v>1</v>
      </c>
      <c r="X249" s="10">
        <v>66.611000000000004</v>
      </c>
      <c r="Y249" s="11">
        <v>0</v>
      </c>
      <c r="Z249" s="12">
        <v>1</v>
      </c>
    </row>
    <row r="250" spans="21:26">
      <c r="U250" s="10">
        <v>77.400000000000006</v>
      </c>
      <c r="V250" s="11">
        <v>0</v>
      </c>
      <c r="W250" s="12">
        <v>1</v>
      </c>
      <c r="X250" s="10">
        <v>77.400000000000006</v>
      </c>
      <c r="Y250" s="11">
        <v>0</v>
      </c>
      <c r="Z250" s="12">
        <v>1</v>
      </c>
    </row>
    <row r="251" spans="21:26">
      <c r="U251" s="10">
        <v>79.78</v>
      </c>
      <c r="V251" s="11">
        <v>0</v>
      </c>
      <c r="W251" s="12">
        <v>1</v>
      </c>
      <c r="X251" s="10">
        <v>79.78</v>
      </c>
      <c r="Y251" s="11">
        <v>0</v>
      </c>
      <c r="Z251" s="12">
        <v>1</v>
      </c>
    </row>
    <row r="252" spans="21:26">
      <c r="U252" s="10">
        <v>80.790000000000006</v>
      </c>
      <c r="V252" s="11">
        <v>0</v>
      </c>
      <c r="W252" s="12">
        <v>1</v>
      </c>
      <c r="X252" s="10">
        <v>80.790000000000006</v>
      </c>
      <c r="Y252" s="11">
        <v>0</v>
      </c>
      <c r="Z252" s="12">
        <v>1</v>
      </c>
    </row>
    <row r="253" spans="21:26">
      <c r="U253" s="10">
        <v>81.072394669999994</v>
      </c>
      <c r="V253" s="11">
        <v>0</v>
      </c>
      <c r="W253" s="12">
        <v>1</v>
      </c>
      <c r="X253" s="10">
        <v>81.072394669999994</v>
      </c>
      <c r="Y253" s="11">
        <v>0</v>
      </c>
      <c r="Z253" s="12">
        <v>1</v>
      </c>
    </row>
    <row r="254" spans="21:26">
      <c r="U254" s="10">
        <v>86.837364489999999</v>
      </c>
      <c r="V254" s="11">
        <v>0</v>
      </c>
      <c r="W254" s="12">
        <v>1</v>
      </c>
      <c r="X254" s="10">
        <v>86.837364489999999</v>
      </c>
      <c r="Y254" s="11">
        <v>0</v>
      </c>
      <c r="Z254" s="12">
        <v>1</v>
      </c>
    </row>
    <row r="255" spans="21:26">
      <c r="U255" s="10">
        <v>87.05</v>
      </c>
      <c r="V255" s="11">
        <v>0</v>
      </c>
      <c r="W255" s="12">
        <v>1</v>
      </c>
      <c r="X255" s="10">
        <v>87.05</v>
      </c>
      <c r="Y255" s="11">
        <v>0</v>
      </c>
      <c r="Z255" s="12">
        <v>1</v>
      </c>
    </row>
    <row r="256" spans="21:26">
      <c r="U256" s="10">
        <v>91.282306640000002</v>
      </c>
      <c r="V256" s="11">
        <v>0</v>
      </c>
      <c r="W256" s="12">
        <v>1</v>
      </c>
      <c r="X256" s="10">
        <v>91.282306640000002</v>
      </c>
      <c r="Y256" s="11">
        <v>0</v>
      </c>
      <c r="Z256" s="12">
        <v>1</v>
      </c>
    </row>
    <row r="257" spans="21:26">
      <c r="U257" s="10">
        <v>92.65</v>
      </c>
      <c r="V257" s="11">
        <v>0</v>
      </c>
      <c r="W257" s="12">
        <v>1</v>
      </c>
      <c r="X257" s="10">
        <v>92.65</v>
      </c>
      <c r="Y257" s="11">
        <v>0</v>
      </c>
      <c r="Z257" s="12">
        <v>1</v>
      </c>
    </row>
    <row r="258" spans="21:26">
      <c r="U258" s="10">
        <v>95.315978999999999</v>
      </c>
      <c r="V258" s="11">
        <v>0</v>
      </c>
      <c r="W258" s="12">
        <v>1</v>
      </c>
      <c r="X258" s="10">
        <v>95.315978999999999</v>
      </c>
      <c r="Y258" s="11">
        <v>0</v>
      </c>
      <c r="Z258" s="12">
        <v>1</v>
      </c>
    </row>
    <row r="259" spans="21:26">
      <c r="U259" s="10">
        <v>95.315978999999999</v>
      </c>
      <c r="V259" s="11">
        <v>0</v>
      </c>
      <c r="W259" s="12">
        <v>1</v>
      </c>
      <c r="X259" s="10">
        <v>95.315978999999999</v>
      </c>
      <c r="Y259" s="11">
        <v>0</v>
      </c>
      <c r="Z259" s="12">
        <v>1</v>
      </c>
    </row>
    <row r="260" spans="21:26">
      <c r="U260" s="10">
        <v>99.831299000000001</v>
      </c>
      <c r="V260" s="11">
        <v>0</v>
      </c>
      <c r="W260" s="12">
        <v>1</v>
      </c>
      <c r="X260" s="10">
        <v>99.831299000000001</v>
      </c>
      <c r="Y260" s="11">
        <v>0</v>
      </c>
      <c r="Z260" s="12">
        <v>1</v>
      </c>
    </row>
    <row r="261" spans="21:26">
      <c r="U261" s="10">
        <v>104.43296100000001</v>
      </c>
      <c r="V261" s="11">
        <v>0</v>
      </c>
      <c r="W261" s="12">
        <v>1</v>
      </c>
      <c r="X261" s="10">
        <v>104.43296100000001</v>
      </c>
      <c r="Y261" s="11">
        <v>0</v>
      </c>
      <c r="Z261" s="12">
        <v>1</v>
      </c>
    </row>
    <row r="262" spans="21:26">
      <c r="U262" s="10">
        <v>106.51051712</v>
      </c>
      <c r="V262" s="11">
        <v>0</v>
      </c>
      <c r="W262" s="12">
        <v>1</v>
      </c>
      <c r="X262" s="10">
        <v>106.51051712</v>
      </c>
      <c r="Y262" s="11">
        <v>0</v>
      </c>
      <c r="Z262" s="12">
        <v>1</v>
      </c>
    </row>
    <row r="263" spans="21:26">
      <c r="U263" s="10">
        <v>138.03701799999999</v>
      </c>
      <c r="V263" s="11">
        <v>0</v>
      </c>
      <c r="W263" s="12">
        <v>1</v>
      </c>
      <c r="X263" s="10">
        <v>138.03701799999999</v>
      </c>
      <c r="Y263" s="11">
        <v>0</v>
      </c>
      <c r="Z263" s="12">
        <v>1</v>
      </c>
    </row>
    <row r="264" spans="21:26">
      <c r="U264" s="10">
        <v>153.41999999999999</v>
      </c>
      <c r="V264" s="11">
        <v>0</v>
      </c>
      <c r="W264" s="12">
        <v>1</v>
      </c>
      <c r="X264" s="10">
        <v>153.41999999999999</v>
      </c>
      <c r="Y264" s="11">
        <v>0</v>
      </c>
      <c r="Z264" s="12">
        <v>1</v>
      </c>
    </row>
    <row r="265" spans="21:26">
      <c r="U265" s="10">
        <v>153.78</v>
      </c>
      <c r="V265" s="11">
        <v>0</v>
      </c>
      <c r="W265" s="12">
        <v>1</v>
      </c>
      <c r="X265" s="10">
        <v>153.78</v>
      </c>
      <c r="Y265" s="11">
        <v>0</v>
      </c>
      <c r="Z265" s="12">
        <v>1</v>
      </c>
    </row>
    <row r="266" spans="21:26">
      <c r="U266" s="10">
        <v>164.69418300000001</v>
      </c>
      <c r="V266" s="11">
        <v>0</v>
      </c>
      <c r="W266" s="12">
        <v>1</v>
      </c>
      <c r="X266" s="10">
        <v>164.69418300000001</v>
      </c>
      <c r="Y266" s="11">
        <v>0</v>
      </c>
      <c r="Z266" s="12">
        <v>1</v>
      </c>
    </row>
    <row r="267" spans="21:26">
      <c r="U267" s="10">
        <v>215.58099999999999</v>
      </c>
      <c r="V267" s="11">
        <v>0</v>
      </c>
      <c r="W267" s="12">
        <v>1</v>
      </c>
      <c r="X267" s="10">
        <v>215.58099999999999</v>
      </c>
      <c r="Y267" s="11">
        <v>0</v>
      </c>
      <c r="Z267" s="12">
        <v>1</v>
      </c>
    </row>
    <row r="268" spans="21:26">
      <c r="U268" s="10">
        <v>265.22000000000003</v>
      </c>
      <c r="V268" s="11">
        <v>0</v>
      </c>
      <c r="W268" s="12">
        <v>1</v>
      </c>
      <c r="X268" s="10">
        <v>265.22000000000003</v>
      </c>
      <c r="Y268" s="11">
        <v>0</v>
      </c>
      <c r="Z268" s="12">
        <v>1</v>
      </c>
    </row>
    <row r="269" spans="21:26" ht="14.7" thickBot="1">
      <c r="U269" s="13" t="s">
        <v>24</v>
      </c>
      <c r="V269" s="13">
        <v>0</v>
      </c>
      <c r="W269" s="14">
        <v>1</v>
      </c>
      <c r="X269" s="15" t="s">
        <v>24</v>
      </c>
      <c r="Y269" s="13">
        <v>0</v>
      </c>
      <c r="Z269" s="14">
        <v>1</v>
      </c>
    </row>
  </sheetData>
  <sortState ref="X165:Y269">
    <sortCondition descending="1" ref="Y165"/>
  </sortState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opLeftCell="B1" zoomScale="115" zoomScaleNormal="115" workbookViewId="0">
      <selection activeCell="O13" sqref="O13"/>
    </sheetView>
  </sheetViews>
  <sheetFormatPr defaultRowHeight="14.4"/>
  <cols>
    <col min="6" max="6" width="12.1015625" bestFit="1" customWidth="1"/>
  </cols>
  <sheetData>
    <row r="1" spans="1:16" ht="14.7" thickBot="1">
      <c r="C1" s="25" t="s">
        <v>37</v>
      </c>
      <c r="D1" s="25" t="s">
        <v>38</v>
      </c>
      <c r="E1" s="25" t="s">
        <v>39</v>
      </c>
      <c r="F1" s="25"/>
      <c r="G1" s="25"/>
      <c r="L1" t="s">
        <v>56</v>
      </c>
      <c r="N1" t="s">
        <v>54</v>
      </c>
      <c r="O1" t="s">
        <v>55</v>
      </c>
    </row>
    <row r="2" spans="1:16">
      <c r="A2" t="s">
        <v>30</v>
      </c>
      <c r="B2" t="s">
        <v>31</v>
      </c>
      <c r="C2">
        <v>5.4426651499999998</v>
      </c>
      <c r="D2">
        <v>45.795755206814306</v>
      </c>
      <c r="E2">
        <f>0.276686*(C2)+40.67104</f>
        <v>42.176949249692896</v>
      </c>
      <c r="F2">
        <f>D2/1000000</f>
        <v>4.5795755206814305E-5</v>
      </c>
      <c r="G2">
        <f>E2/1000000</f>
        <v>4.2176949249692899E-5</v>
      </c>
      <c r="H2">
        <f>LOG10(F2)</f>
        <v>-4.3391747747404752</v>
      </c>
      <c r="I2">
        <f>LOG10(G2)</f>
        <v>-4.3749248369232321</v>
      </c>
      <c r="J2">
        <f>((H2-I2)/I2)*100</f>
        <v>-0.81715831735063493</v>
      </c>
      <c r="K2">
        <f>ABS(J2)</f>
        <v>0.81715831735063493</v>
      </c>
      <c r="L2">
        <f>COUNT(K2:K105)</f>
        <v>53</v>
      </c>
      <c r="M2" s="3" t="s">
        <v>19</v>
      </c>
      <c r="N2" s="4">
        <f>COUNTIF(K2:K105,"&lt;5")</f>
        <v>38</v>
      </c>
      <c r="O2" s="9">
        <f>(N2/L2)*100</f>
        <v>71.698113207547166</v>
      </c>
    </row>
    <row r="3" spans="1:16">
      <c r="B3" t="s">
        <v>32</v>
      </c>
      <c r="C3">
        <v>111.6385095</v>
      </c>
      <c r="D3">
        <v>90.584498495528777</v>
      </c>
      <c r="E3">
        <f t="shared" ref="E3:E54" si="0">0.276686*(C3)+40.67104</f>
        <v>71.559852639517004</v>
      </c>
      <c r="F3">
        <f t="shared" ref="F3:F54" si="1">D3/1000000</f>
        <v>9.0584498495528776E-5</v>
      </c>
      <c r="G3">
        <f t="shared" ref="G3:G54" si="2">E3/1000000</f>
        <v>7.1559852639516998E-5</v>
      </c>
      <c r="H3">
        <f t="shared" ref="H3:H54" si="3">LOG10(F3)</f>
        <v>-4.0429461157211364</v>
      </c>
      <c r="I3">
        <f t="shared" ref="I3:I54" si="4">LOG10(G3)</f>
        <v>-4.1453305624298533</v>
      </c>
      <c r="J3">
        <f t="shared" ref="J3:J54" si="5">((H3-I3)/I3)*100</f>
        <v>-2.4698741190063891</v>
      </c>
      <c r="K3">
        <f t="shared" ref="K3:K54" si="6">ABS(J3)</f>
        <v>2.4698741190063891</v>
      </c>
      <c r="M3" s="29" t="s">
        <v>20</v>
      </c>
      <c r="N3" s="30">
        <f>COUNTIF(K2:K105,"&gt;=5")-COUNTIF(K2:K105,"&gt;10")</f>
        <v>11</v>
      </c>
      <c r="O3" s="31">
        <f>(N3/L2)*100</f>
        <v>20.754716981132077</v>
      </c>
      <c r="P3" s="9">
        <f>O2+O3</f>
        <v>92.452830188679243</v>
      </c>
    </row>
    <row r="4" spans="1:16">
      <c r="B4" t="s">
        <v>33</v>
      </c>
      <c r="C4">
        <v>577.13472102000003</v>
      </c>
      <c r="D4">
        <v>152.36727944012412</v>
      </c>
      <c r="E4">
        <f t="shared" si="0"/>
        <v>200.35613742013973</v>
      </c>
      <c r="F4">
        <f t="shared" si="1"/>
        <v>1.5236727944012413E-4</v>
      </c>
      <c r="G4">
        <f t="shared" si="2"/>
        <v>2.0035613742013972E-4</v>
      </c>
      <c r="H4">
        <f t="shared" si="3"/>
        <v>-3.8171082868304884</v>
      </c>
      <c r="I4">
        <f t="shared" si="4"/>
        <v>-3.6981973494784754</v>
      </c>
      <c r="J4">
        <f t="shared" si="5"/>
        <v>3.2153756577858656</v>
      </c>
      <c r="K4">
        <f t="shared" si="6"/>
        <v>3.2153756577858656</v>
      </c>
      <c r="M4" s="5" t="s">
        <v>57</v>
      </c>
      <c r="N4" s="6">
        <f>COUNTIF(K2:K105,"&gt;=10")-COUNTIF(K2:K105,"&gt;15")</f>
        <v>3</v>
      </c>
      <c r="O4" s="9">
        <f>(N4/L2)*100</f>
        <v>5.6603773584905666</v>
      </c>
    </row>
    <row r="5" spans="1:16">
      <c r="B5" t="s">
        <v>34</v>
      </c>
      <c r="C5">
        <v>10.343832450000001</v>
      </c>
      <c r="D5">
        <v>22.946925478485138</v>
      </c>
      <c r="E5">
        <f t="shared" si="0"/>
        <v>43.5330336252607</v>
      </c>
      <c r="F5">
        <f t="shared" si="1"/>
        <v>2.2946925478485138E-5</v>
      </c>
      <c r="G5">
        <f t="shared" si="2"/>
        <v>4.3533033625260702E-5</v>
      </c>
      <c r="H5">
        <f t="shared" si="3"/>
        <v>-4.6392754947530968</v>
      </c>
      <c r="I5">
        <f t="shared" si="4"/>
        <v>-4.3611810677195857</v>
      </c>
      <c r="J5">
        <f t="shared" si="5"/>
        <v>6.3765852120174324</v>
      </c>
      <c r="K5">
        <f t="shared" si="6"/>
        <v>6.3765852120174324</v>
      </c>
      <c r="M5" s="5" t="s">
        <v>58</v>
      </c>
      <c r="N5" s="6">
        <f>COUNTIF(K2:K105,"&gt;=15")-COUNTIF(K2:K105,"&gt;20")</f>
        <v>1</v>
      </c>
      <c r="O5" s="9">
        <f>(N5/L2)*100</f>
        <v>1.8867924528301887</v>
      </c>
    </row>
    <row r="6" spans="1:16">
      <c r="B6" t="s">
        <v>35</v>
      </c>
      <c r="C6">
        <v>47.312933819999998</v>
      </c>
      <c r="D6">
        <v>71.503509064554791</v>
      </c>
      <c r="E6">
        <f t="shared" si="0"/>
        <v>53.761866406920518</v>
      </c>
      <c r="F6">
        <f t="shared" si="1"/>
        <v>7.1503509064554789E-5</v>
      </c>
      <c r="G6">
        <f t="shared" si="2"/>
        <v>5.3761866406920521E-5</v>
      </c>
      <c r="H6">
        <f t="shared" si="3"/>
        <v>-4.1456726444929402</v>
      </c>
      <c r="I6">
        <f t="shared" si="4"/>
        <v>-4.2695256626447735</v>
      </c>
      <c r="J6">
        <f t="shared" si="5"/>
        <v>-2.9008613119592344</v>
      </c>
      <c r="K6">
        <f t="shared" si="6"/>
        <v>2.9008613119592344</v>
      </c>
      <c r="M6" s="5" t="s">
        <v>17</v>
      </c>
      <c r="N6" s="6">
        <f>COUNTIF(K2:K105,"&gt;=30")-COUNTIF(K2:K105,"&gt;40")</f>
        <v>0</v>
      </c>
      <c r="O6" s="9">
        <f>(N6/L2)*100</f>
        <v>0</v>
      </c>
    </row>
    <row r="7" spans="1:16" ht="14.7" thickBot="1">
      <c r="B7" t="s">
        <v>36</v>
      </c>
      <c r="C7">
        <v>26.069061319999999</v>
      </c>
      <c r="D7">
        <v>62.839877914224957</v>
      </c>
      <c r="E7">
        <f t="shared" si="0"/>
        <v>47.883984300385521</v>
      </c>
      <c r="F7">
        <f t="shared" si="1"/>
        <v>6.2839877914224959E-5</v>
      </c>
      <c r="G7">
        <f t="shared" si="2"/>
        <v>4.7883984300385524E-5</v>
      </c>
      <c r="H7">
        <f t="shared" si="3"/>
        <v>-4.2017646673817444</v>
      </c>
      <c r="I7">
        <f t="shared" si="4"/>
        <v>-4.3198097202606069</v>
      </c>
      <c r="J7">
        <f t="shared" si="5"/>
        <v>-2.7326447349107106</v>
      </c>
      <c r="K7">
        <f t="shared" si="6"/>
        <v>2.7326447349107106</v>
      </c>
      <c r="M7" s="7" t="s">
        <v>18</v>
      </c>
      <c r="N7" s="8">
        <f>COUNTIF(K2:K105,"&gt;=40")-COUNTIF(K2:K105,"&gt;50")</f>
        <v>0</v>
      </c>
      <c r="O7" s="9">
        <f>(N7/L2)*100</f>
        <v>0</v>
      </c>
    </row>
    <row r="8" spans="1:16">
      <c r="A8" t="s">
        <v>40</v>
      </c>
      <c r="B8" t="s">
        <v>31</v>
      </c>
      <c r="C8">
        <v>11.112717</v>
      </c>
      <c r="D8">
        <v>20.169080285156227</v>
      </c>
      <c r="E8">
        <f t="shared" si="0"/>
        <v>43.745773215861995</v>
      </c>
      <c r="F8">
        <f t="shared" si="1"/>
        <v>2.0169080285156225E-5</v>
      </c>
      <c r="G8">
        <f t="shared" si="2"/>
        <v>4.3745773215861993E-5</v>
      </c>
      <c r="H8">
        <f t="shared" si="3"/>
        <v>-4.6953139052670769</v>
      </c>
      <c r="I8">
        <f t="shared" si="4"/>
        <v>-4.3590639028178293</v>
      </c>
      <c r="J8">
        <f t="shared" si="5"/>
        <v>7.7138121841225038</v>
      </c>
      <c r="K8">
        <f t="shared" si="6"/>
        <v>7.7138121841225038</v>
      </c>
      <c r="M8" s="5" t="s">
        <v>57</v>
      </c>
      <c r="N8" s="6">
        <f>COUNTIF(K2:K109,"&gt;=10")-COUNTIF(K2:K109,"&gt;20")</f>
        <v>4</v>
      </c>
      <c r="O8" s="9">
        <f>(N8/L2)*100</f>
        <v>7.5471698113207548</v>
      </c>
    </row>
    <row r="9" spans="1:16">
      <c r="B9" t="s">
        <v>32</v>
      </c>
      <c r="C9">
        <v>44.255248999999999</v>
      </c>
      <c r="D9">
        <v>125.66036861404604</v>
      </c>
      <c r="E9">
        <f t="shared" si="0"/>
        <v>52.915847824813994</v>
      </c>
      <c r="F9">
        <f t="shared" si="1"/>
        <v>1.2566036861404604E-4</v>
      </c>
      <c r="G9">
        <f t="shared" si="2"/>
        <v>5.2915847824813993E-5</v>
      </c>
      <c r="H9">
        <f t="shared" si="3"/>
        <v>-3.9008016706521396</v>
      </c>
      <c r="I9">
        <f t="shared" si="4"/>
        <v>-4.2764142411572177</v>
      </c>
      <c r="J9">
        <f t="shared" si="5"/>
        <v>-8.7833532797195915</v>
      </c>
      <c r="K9">
        <f t="shared" si="6"/>
        <v>8.7833532797195915</v>
      </c>
    </row>
    <row r="10" spans="1:16">
      <c r="B10" t="s">
        <v>33</v>
      </c>
      <c r="C10">
        <v>490.44042999999999</v>
      </c>
      <c r="D10">
        <v>252.30629414614197</v>
      </c>
      <c r="E10">
        <f t="shared" si="0"/>
        <v>176.36904081498</v>
      </c>
      <c r="F10">
        <f t="shared" si="1"/>
        <v>2.5230629414614195E-4</v>
      </c>
      <c r="G10">
        <f t="shared" si="2"/>
        <v>1.7636904081498001E-4</v>
      </c>
      <c r="H10">
        <f t="shared" si="3"/>
        <v>-3.5980719152420697</v>
      </c>
      <c r="I10">
        <f t="shared" si="4"/>
        <v>-3.7535776470002769</v>
      </c>
      <c r="J10">
        <f t="shared" si="5"/>
        <v>-4.1428670559800906</v>
      </c>
      <c r="K10">
        <f t="shared" si="6"/>
        <v>4.1428670559800906</v>
      </c>
      <c r="M10" s="51" t="s">
        <v>14</v>
      </c>
      <c r="N10" s="51">
        <f>AVERAGE(K2:K54)</f>
        <v>3.9551369132022676</v>
      </c>
    </row>
    <row r="11" spans="1:16">
      <c r="B11" t="s">
        <v>34</v>
      </c>
      <c r="C11">
        <v>15.71209</v>
      </c>
      <c r="D11">
        <v>23.861870315006335</v>
      </c>
      <c r="E11">
        <f t="shared" si="0"/>
        <v>45.018355333739997</v>
      </c>
      <c r="F11">
        <f t="shared" si="1"/>
        <v>2.3861870315006336E-5</v>
      </c>
      <c r="G11">
        <f t="shared" si="2"/>
        <v>4.501835533374E-5</v>
      </c>
      <c r="H11">
        <f t="shared" si="3"/>
        <v>-4.6222955189367285</v>
      </c>
      <c r="I11">
        <f t="shared" si="4"/>
        <v>-4.3466103752290666</v>
      </c>
      <c r="J11">
        <f t="shared" si="5"/>
        <v>6.3425317640331018</v>
      </c>
      <c r="K11">
        <f t="shared" si="6"/>
        <v>6.3425317640331018</v>
      </c>
      <c r="M11" s="51" t="s">
        <v>98</v>
      </c>
      <c r="N11" s="51">
        <f>MEDIAN(K2:K54)</f>
        <v>2.7326447349107106</v>
      </c>
    </row>
    <row r="12" spans="1:16">
      <c r="B12" t="s">
        <v>35</v>
      </c>
      <c r="C12">
        <v>36.113197</v>
      </c>
      <c r="D12">
        <v>144.82694726483103</v>
      </c>
      <c r="E12">
        <f t="shared" si="0"/>
        <v>50.663056025141998</v>
      </c>
      <c r="F12">
        <f t="shared" si="1"/>
        <v>1.4482694726483103E-4</v>
      </c>
      <c r="G12">
        <f t="shared" si="2"/>
        <v>5.0663056025141997E-5</v>
      </c>
      <c r="H12">
        <f t="shared" si="3"/>
        <v>-3.8391506235008501</v>
      </c>
      <c r="I12">
        <f t="shared" si="4"/>
        <v>-4.2953086168584251</v>
      </c>
      <c r="J12">
        <f t="shared" si="5"/>
        <v>-10.61991195620322</v>
      </c>
      <c r="K12">
        <f t="shared" si="6"/>
        <v>10.61991195620322</v>
      </c>
    </row>
    <row r="13" spans="1:16">
      <c r="B13" t="s">
        <v>36</v>
      </c>
      <c r="C13">
        <v>82.681488000000002</v>
      </c>
      <c r="D13">
        <v>80.508979157908939</v>
      </c>
      <c r="E13">
        <f t="shared" si="0"/>
        <v>63.547850188767995</v>
      </c>
      <c r="F13">
        <f t="shared" si="1"/>
        <v>8.0508979157908937E-5</v>
      </c>
      <c r="G13">
        <f t="shared" si="2"/>
        <v>6.3547850188767999E-5</v>
      </c>
      <c r="H13">
        <f t="shared" si="3"/>
        <v>-4.094155680113337</v>
      </c>
      <c r="I13">
        <f t="shared" si="4"/>
        <v>-4.1968991369580868</v>
      </c>
      <c r="J13">
        <f t="shared" si="5"/>
        <v>-2.4480802014036085</v>
      </c>
      <c r="K13">
        <f t="shared" si="6"/>
        <v>2.4480802014036085</v>
      </c>
    </row>
    <row r="14" spans="1:16">
      <c r="A14" s="26" t="s">
        <v>41</v>
      </c>
      <c r="B14" t="s">
        <v>31</v>
      </c>
      <c r="C14">
        <v>7.0308080000000004</v>
      </c>
      <c r="D14">
        <v>152.3283361524563</v>
      </c>
      <c r="E14">
        <f t="shared" si="0"/>
        <v>42.616366142288001</v>
      </c>
      <c r="F14">
        <f t="shared" si="1"/>
        <v>1.5232833615245629E-4</v>
      </c>
      <c r="G14">
        <f t="shared" si="2"/>
        <v>4.2616366142288004E-5</v>
      </c>
      <c r="H14">
        <f t="shared" si="3"/>
        <v>-3.8172193015886138</v>
      </c>
      <c r="I14">
        <f t="shared" si="4"/>
        <v>-4.3704235849276527</v>
      </c>
      <c r="J14">
        <f t="shared" si="5"/>
        <v>-12.657909984901305</v>
      </c>
      <c r="K14">
        <f t="shared" si="6"/>
        <v>12.657909984901305</v>
      </c>
    </row>
    <row r="15" spans="1:16">
      <c r="B15" t="s">
        <v>33</v>
      </c>
      <c r="C15">
        <v>315.81585699999999</v>
      </c>
      <c r="D15">
        <v>26.4865886110486</v>
      </c>
      <c r="E15">
        <f>0.276686*(C15)+40.67104</f>
        <v>128.05286620990199</v>
      </c>
      <c r="F15">
        <f t="shared" si="1"/>
        <v>2.6486588611048601E-5</v>
      </c>
      <c r="G15">
        <f t="shared" si="2"/>
        <v>1.2805286620990198E-4</v>
      </c>
      <c r="H15">
        <f t="shared" si="3"/>
        <v>-4.576973973858391</v>
      </c>
      <c r="I15">
        <f t="shared" si="4"/>
        <v>-3.892610696264561</v>
      </c>
      <c r="J15">
        <f t="shared" si="5"/>
        <v>17.581087115918393</v>
      </c>
      <c r="K15">
        <f t="shared" si="6"/>
        <v>17.581087115918393</v>
      </c>
    </row>
    <row r="16" spans="1:16">
      <c r="B16" t="s">
        <v>34</v>
      </c>
      <c r="C16">
        <v>34.986052999999998</v>
      </c>
      <c r="D16">
        <v>58.392572492852267</v>
      </c>
      <c r="E16">
        <f t="shared" si="0"/>
        <v>50.351191060357998</v>
      </c>
      <c r="F16">
        <f t="shared" si="1"/>
        <v>5.8392572492852264E-5</v>
      </c>
      <c r="G16">
        <f t="shared" si="2"/>
        <v>5.0351191060357998E-5</v>
      </c>
      <c r="H16">
        <f t="shared" si="3"/>
        <v>-4.2336423914238202</v>
      </c>
      <c r="I16">
        <f t="shared" si="4"/>
        <v>-4.2979902517275823</v>
      </c>
      <c r="J16">
        <f t="shared" si="5"/>
        <v>-1.4971616158947187</v>
      </c>
      <c r="K16">
        <f t="shared" si="6"/>
        <v>1.4971616158947187</v>
      </c>
    </row>
    <row r="17" spans="1:11">
      <c r="B17" t="s">
        <v>35</v>
      </c>
      <c r="C17">
        <v>93.493423000000007</v>
      </c>
      <c r="D17">
        <v>112.61118495238176</v>
      </c>
      <c r="E17">
        <f t="shared" si="0"/>
        <v>66.539361236177996</v>
      </c>
      <c r="F17">
        <f t="shared" si="1"/>
        <v>1.1261118495238176E-4</v>
      </c>
      <c r="G17">
        <f t="shared" si="2"/>
        <v>6.6539361236177995E-5</v>
      </c>
      <c r="H17">
        <f t="shared" si="3"/>
        <v>-3.9484184716351489</v>
      </c>
      <c r="I17">
        <f t="shared" si="4"/>
        <v>-4.1769213725825356</v>
      </c>
      <c r="J17">
        <f t="shared" si="5"/>
        <v>-5.4706057539720057</v>
      </c>
      <c r="K17">
        <f t="shared" si="6"/>
        <v>5.4706057539720057</v>
      </c>
    </row>
    <row r="18" spans="1:11">
      <c r="B18" t="s">
        <v>36</v>
      </c>
      <c r="C18">
        <v>34.982529</v>
      </c>
      <c r="D18">
        <v>58.141834434204803</v>
      </c>
      <c r="E18">
        <f t="shared" si="0"/>
        <v>50.350216018893995</v>
      </c>
      <c r="F18">
        <f t="shared" si="1"/>
        <v>5.8141834434204802E-5</v>
      </c>
      <c r="G18">
        <f t="shared" si="2"/>
        <v>5.0350216018893993E-5</v>
      </c>
      <c r="H18">
        <f t="shared" si="3"/>
        <v>-4.2355112699153619</v>
      </c>
      <c r="I18">
        <f t="shared" si="4"/>
        <v>-4.2979986618410004</v>
      </c>
      <c r="J18">
        <f t="shared" si="5"/>
        <v>-1.4538718329631304</v>
      </c>
      <c r="K18">
        <f t="shared" si="6"/>
        <v>1.4538718329631304</v>
      </c>
    </row>
    <row r="19" spans="1:11">
      <c r="A19" s="26" t="s">
        <v>42</v>
      </c>
      <c r="B19" t="s">
        <v>31</v>
      </c>
      <c r="C19">
        <v>5.2517339300000003</v>
      </c>
      <c r="D19">
        <v>41.635838420391941</v>
      </c>
      <c r="E19">
        <f t="shared" si="0"/>
        <v>42.12412125415598</v>
      </c>
      <c r="F19">
        <f t="shared" si="1"/>
        <v>4.1635838420391941E-5</v>
      </c>
      <c r="G19">
        <f t="shared" si="2"/>
        <v>4.2124121254155979E-5</v>
      </c>
      <c r="H19">
        <f t="shared" si="3"/>
        <v>-4.3805326855347202</v>
      </c>
      <c r="I19">
        <f t="shared" si="4"/>
        <v>-4.3754691457871129</v>
      </c>
      <c r="J19">
        <f t="shared" si="5"/>
        <v>0.11572564172878938</v>
      </c>
      <c r="K19">
        <f t="shared" si="6"/>
        <v>0.11572564172878938</v>
      </c>
    </row>
    <row r="20" spans="1:11">
      <c r="B20" t="s">
        <v>32</v>
      </c>
      <c r="C20">
        <v>22.771026840000001</v>
      </c>
      <c r="D20">
        <v>21.900694798121222</v>
      </c>
      <c r="E20">
        <f t="shared" si="0"/>
        <v>46.971464332252239</v>
      </c>
      <c r="F20">
        <f t="shared" si="1"/>
        <v>2.1900694798121222E-5</v>
      </c>
      <c r="G20">
        <f t="shared" si="2"/>
        <v>4.6971464332252242E-5</v>
      </c>
      <c r="H20">
        <f t="shared" si="3"/>
        <v>-4.6595421069770699</v>
      </c>
      <c r="I20">
        <f t="shared" si="4"/>
        <v>-4.3281659005043425</v>
      </c>
      <c r="J20">
        <f t="shared" si="5"/>
        <v>7.6562732134208087</v>
      </c>
      <c r="K20">
        <f t="shared" si="6"/>
        <v>7.6562732134208087</v>
      </c>
    </row>
    <row r="21" spans="1:11">
      <c r="B21" t="s">
        <v>33</v>
      </c>
      <c r="C21">
        <v>237.96987588000002</v>
      </c>
      <c r="D21">
        <v>87.373336823629558</v>
      </c>
      <c r="E21">
        <f t="shared" si="0"/>
        <v>106.51397307773368</v>
      </c>
      <c r="F21">
        <f t="shared" si="1"/>
        <v>8.7373336823629553E-5</v>
      </c>
      <c r="G21">
        <f t="shared" si="2"/>
        <v>1.0651397307773368E-4</v>
      </c>
      <c r="H21">
        <f t="shared" si="3"/>
        <v>-4.0586210780868317</v>
      </c>
      <c r="I21">
        <f t="shared" si="4"/>
        <v>-3.972593415394325</v>
      </c>
      <c r="J21">
        <f t="shared" si="5"/>
        <v>2.1655290057909817</v>
      </c>
      <c r="K21">
        <f t="shared" si="6"/>
        <v>2.1655290057909817</v>
      </c>
    </row>
    <row r="22" spans="1:11">
      <c r="B22" t="s">
        <v>34</v>
      </c>
      <c r="C22">
        <v>5.7709435500000001</v>
      </c>
      <c r="D22">
        <v>18.657274452033331</v>
      </c>
      <c r="E22">
        <f t="shared" si="0"/>
        <v>42.2677792870753</v>
      </c>
      <c r="F22">
        <f t="shared" si="1"/>
        <v>1.8657274452033333E-5</v>
      </c>
      <c r="G22">
        <f t="shared" si="2"/>
        <v>4.22677792870753E-5</v>
      </c>
      <c r="H22">
        <f t="shared" si="3"/>
        <v>-4.7291517998659165</v>
      </c>
      <c r="I22">
        <f t="shared" si="4"/>
        <v>-4.3739905690317373</v>
      </c>
      <c r="J22">
        <f t="shared" si="5"/>
        <v>8.1198444584849803</v>
      </c>
      <c r="K22">
        <f t="shared" si="6"/>
        <v>8.1198444584849803</v>
      </c>
    </row>
    <row r="23" spans="1:11">
      <c r="B23" t="s">
        <v>35</v>
      </c>
      <c r="C23">
        <v>38.914835750000002</v>
      </c>
      <c r="D23">
        <v>44.645904564588662</v>
      </c>
      <c r="E23">
        <f t="shared" si="0"/>
        <v>51.438230244324501</v>
      </c>
      <c r="F23">
        <f t="shared" si="1"/>
        <v>4.4645904564588662E-5</v>
      </c>
      <c r="G23">
        <f t="shared" si="2"/>
        <v>5.1438230244324499E-5</v>
      </c>
      <c r="H23">
        <f t="shared" si="3"/>
        <v>-4.3502183734288637</v>
      </c>
      <c r="I23">
        <f t="shared" si="4"/>
        <v>-4.2887139819257074</v>
      </c>
      <c r="J23">
        <f t="shared" si="5"/>
        <v>1.4340987009709563</v>
      </c>
      <c r="K23">
        <f t="shared" si="6"/>
        <v>1.4340987009709563</v>
      </c>
    </row>
    <row r="24" spans="1:11">
      <c r="B24" t="s">
        <v>36</v>
      </c>
      <c r="C24">
        <v>18.301239519999999</v>
      </c>
      <c r="D24">
        <v>37.913947178192416</v>
      </c>
      <c r="E24">
        <f t="shared" si="0"/>
        <v>45.734736757830717</v>
      </c>
      <c r="F24">
        <f t="shared" si="1"/>
        <v>3.7913947178192413E-5</v>
      </c>
      <c r="G24">
        <f t="shared" si="2"/>
        <v>4.5734736757830714E-5</v>
      </c>
      <c r="H24">
        <f t="shared" si="3"/>
        <v>-4.4212009993121226</v>
      </c>
      <c r="I24">
        <f t="shared" si="4"/>
        <v>-4.339753816304543</v>
      </c>
      <c r="J24">
        <f t="shared" si="5"/>
        <v>1.876769661485886</v>
      </c>
      <c r="K24">
        <f t="shared" si="6"/>
        <v>1.876769661485886</v>
      </c>
    </row>
    <row r="25" spans="1:11">
      <c r="A25" s="26" t="s">
        <v>43</v>
      </c>
      <c r="B25" t="s">
        <v>31</v>
      </c>
      <c r="C25">
        <v>16.233042000000001</v>
      </c>
      <c r="D25">
        <v>56.359992826291034</v>
      </c>
      <c r="E25">
        <f t="shared" si="0"/>
        <v>45.162495458811996</v>
      </c>
      <c r="F25">
        <f t="shared" si="1"/>
        <v>5.6359992826291035E-5</v>
      </c>
      <c r="G25">
        <f t="shared" si="2"/>
        <v>4.5162495458811997E-5</v>
      </c>
      <c r="H25">
        <f t="shared" si="3"/>
        <v>-4.2490290708412903</v>
      </c>
      <c r="I25">
        <f t="shared" si="4"/>
        <v>-4.3452220690931824</v>
      </c>
      <c r="J25">
        <f t="shared" si="5"/>
        <v>-2.2137648369250531</v>
      </c>
      <c r="K25">
        <f t="shared" si="6"/>
        <v>2.2137648369250531</v>
      </c>
    </row>
    <row r="26" spans="1:11">
      <c r="B26" t="s">
        <v>32</v>
      </c>
      <c r="C26">
        <v>85.942307</v>
      </c>
      <c r="D26">
        <v>102.43637189702616</v>
      </c>
      <c r="E26">
        <f t="shared" si="0"/>
        <v>64.450073154601995</v>
      </c>
      <c r="F26">
        <f t="shared" si="1"/>
        <v>1.0243637189702616E-4</v>
      </c>
      <c r="G26">
        <f t="shared" si="2"/>
        <v>6.4450073154601999E-5</v>
      </c>
      <c r="H26">
        <f t="shared" si="3"/>
        <v>-3.9895458118221607</v>
      </c>
      <c r="I26">
        <f t="shared" si="4"/>
        <v>-4.1907765853606644</v>
      </c>
      <c r="J26">
        <f t="shared" si="5"/>
        <v>-4.8017537904895375</v>
      </c>
      <c r="K26">
        <f t="shared" si="6"/>
        <v>4.8017537904895375</v>
      </c>
    </row>
    <row r="27" spans="1:11">
      <c r="B27" t="s">
        <v>33</v>
      </c>
      <c r="C27">
        <v>458.591858</v>
      </c>
      <c r="D27">
        <v>279.58603775385268</v>
      </c>
      <c r="E27">
        <f t="shared" si="0"/>
        <v>167.55698682258799</v>
      </c>
      <c r="F27">
        <f t="shared" si="1"/>
        <v>2.7958603775385269E-4</v>
      </c>
      <c r="G27">
        <f t="shared" si="2"/>
        <v>1.6755698682258799E-4</v>
      </c>
      <c r="H27">
        <f t="shared" si="3"/>
        <v>-3.5534845206154206</v>
      </c>
      <c r="I27">
        <f t="shared" si="4"/>
        <v>-3.7758374581585699</v>
      </c>
      <c r="J27">
        <f t="shared" si="5"/>
        <v>-5.8888376421687401</v>
      </c>
      <c r="K27">
        <f t="shared" si="6"/>
        <v>5.8888376421687401</v>
      </c>
    </row>
    <row r="28" spans="1:11">
      <c r="B28" t="s">
        <v>34</v>
      </c>
      <c r="C28">
        <v>58.904677999999997</v>
      </c>
      <c r="D28">
        <v>36.235532333244223</v>
      </c>
      <c r="E28">
        <f t="shared" si="0"/>
        <v>56.969139737107994</v>
      </c>
      <c r="F28">
        <f t="shared" si="1"/>
        <v>3.6235532333244225E-5</v>
      </c>
      <c r="G28">
        <f t="shared" si="2"/>
        <v>5.6969139737107996E-5</v>
      </c>
      <c r="H28">
        <f t="shared" si="3"/>
        <v>-4.440865354114095</v>
      </c>
      <c r="I28">
        <f t="shared" si="4"/>
        <v>-4.244360338560659</v>
      </c>
      <c r="J28">
        <f t="shared" si="5"/>
        <v>4.6297910610500734</v>
      </c>
      <c r="K28">
        <f t="shared" si="6"/>
        <v>4.6297910610500734</v>
      </c>
    </row>
    <row r="29" spans="1:11">
      <c r="B29" t="s">
        <v>35</v>
      </c>
      <c r="C29">
        <v>61.296309999999998</v>
      </c>
      <c r="D29">
        <v>71.20141115531294</v>
      </c>
      <c r="E29">
        <f t="shared" si="0"/>
        <v>57.630870828659994</v>
      </c>
      <c r="F29">
        <f t="shared" si="1"/>
        <v>7.1201411155312946E-5</v>
      </c>
      <c r="G29">
        <f t="shared" si="2"/>
        <v>5.7630870828659992E-5</v>
      </c>
      <c r="H29">
        <f t="shared" si="3"/>
        <v>-4.1475113989067909</v>
      </c>
      <c r="I29">
        <f t="shared" si="4"/>
        <v>-4.2393448179819906</v>
      </c>
      <c r="J29">
        <f t="shared" si="5"/>
        <v>-2.1662172580458829</v>
      </c>
      <c r="K29">
        <f t="shared" si="6"/>
        <v>2.1662172580458829</v>
      </c>
    </row>
    <row r="30" spans="1:11">
      <c r="B30" t="s">
        <v>36</v>
      </c>
      <c r="C30">
        <v>62.808501999999997</v>
      </c>
      <c r="D30">
        <v>88.847308320900709</v>
      </c>
      <c r="E30">
        <f t="shared" si="0"/>
        <v>58.049273184371998</v>
      </c>
      <c r="F30">
        <f t="shared" si="1"/>
        <v>8.884730832090071E-5</v>
      </c>
      <c r="G30">
        <f t="shared" si="2"/>
        <v>5.8049273184372001E-5</v>
      </c>
      <c r="H30">
        <f t="shared" si="3"/>
        <v>-4.0513557248545959</v>
      </c>
      <c r="I30">
        <f t="shared" si="4"/>
        <v>-4.2362032135480199</v>
      </c>
      <c r="J30">
        <f t="shared" si="5"/>
        <v>-4.3635179753004678</v>
      </c>
      <c r="K30">
        <f t="shared" si="6"/>
        <v>4.3635179753004678</v>
      </c>
    </row>
    <row r="31" spans="1:11">
      <c r="A31" s="27" t="s">
        <v>44</v>
      </c>
      <c r="B31" s="2" t="s">
        <v>45</v>
      </c>
      <c r="C31">
        <v>28.85</v>
      </c>
      <c r="D31">
        <v>26.504941599281199</v>
      </c>
      <c r="E31">
        <f t="shared" si="0"/>
        <v>48.653431099999999</v>
      </c>
      <c r="F31">
        <f t="shared" si="1"/>
        <v>2.65049415992812E-5</v>
      </c>
      <c r="G31">
        <f t="shared" si="2"/>
        <v>4.86534311E-5</v>
      </c>
      <c r="H31">
        <f t="shared" si="3"/>
        <v>-4.5766731483565453</v>
      </c>
      <c r="I31">
        <f t="shared" si="4"/>
        <v>-4.3128865273328643</v>
      </c>
      <c r="J31">
        <f t="shared" si="5"/>
        <v>6.1162430161780659</v>
      </c>
      <c r="K31">
        <f t="shared" si="6"/>
        <v>6.1162430161780659</v>
      </c>
    </row>
    <row r="32" spans="1:11">
      <c r="A32" s="27" t="s">
        <v>46</v>
      </c>
      <c r="B32" s="2" t="s">
        <v>45</v>
      </c>
      <c r="C32">
        <v>87.05</v>
      </c>
      <c r="D32">
        <v>58.589447789631087</v>
      </c>
      <c r="E32">
        <f t="shared" si="0"/>
        <v>64.7565563</v>
      </c>
      <c r="F32">
        <f t="shared" si="1"/>
        <v>5.858944778963109E-5</v>
      </c>
      <c r="G32">
        <f t="shared" si="2"/>
        <v>6.4756556300000004E-5</v>
      </c>
      <c r="H32">
        <f t="shared" si="3"/>
        <v>-4.23218059523444</v>
      </c>
      <c r="I32">
        <f t="shared" si="4"/>
        <v>-4.1887162547252341</v>
      </c>
      <c r="J32">
        <f t="shared" si="5"/>
        <v>1.0376530150538212</v>
      </c>
      <c r="K32">
        <f t="shared" si="6"/>
        <v>1.0376530150538212</v>
      </c>
    </row>
    <row r="33" spans="1:11">
      <c r="A33" s="27" t="s">
        <v>47</v>
      </c>
      <c r="B33" s="2" t="s">
        <v>45</v>
      </c>
      <c r="C33">
        <v>77.400000000000006</v>
      </c>
      <c r="D33">
        <v>65.977067281441478</v>
      </c>
      <c r="E33">
        <f t="shared" si="0"/>
        <v>62.0865364</v>
      </c>
      <c r="F33">
        <f t="shared" si="1"/>
        <v>6.5977067281441481E-5</v>
      </c>
      <c r="G33">
        <f t="shared" si="2"/>
        <v>6.2086536399999994E-5</v>
      </c>
      <c r="H33">
        <f t="shared" si="3"/>
        <v>-4.1806069930009517</v>
      </c>
      <c r="I33">
        <f t="shared" si="4"/>
        <v>-4.2070025673133742</v>
      </c>
      <c r="J33">
        <f t="shared" si="5"/>
        <v>-0.62741997158511076</v>
      </c>
      <c r="K33">
        <f t="shared" si="6"/>
        <v>0.62741997158511076</v>
      </c>
    </row>
    <row r="34" spans="1:11">
      <c r="A34" s="27" t="s">
        <v>48</v>
      </c>
      <c r="B34" s="2" t="s">
        <v>45</v>
      </c>
      <c r="C34">
        <v>45.86</v>
      </c>
      <c r="D34">
        <v>55.973555670168501</v>
      </c>
      <c r="E34">
        <f t="shared" si="0"/>
        <v>53.359859959999994</v>
      </c>
      <c r="F34">
        <f t="shared" si="1"/>
        <v>5.5973555670168503E-5</v>
      </c>
      <c r="G34">
        <f t="shared" si="2"/>
        <v>5.3359859959999995E-5</v>
      </c>
      <c r="H34">
        <f t="shared" si="3"/>
        <v>-4.2520171040476136</v>
      </c>
      <c r="I34">
        <f t="shared" si="4"/>
        <v>-4.2727853188718496</v>
      </c>
      <c r="J34">
        <f t="shared" si="5"/>
        <v>-0.48605799904123287</v>
      </c>
      <c r="K34">
        <f t="shared" si="6"/>
        <v>0.48605799904123287</v>
      </c>
    </row>
    <row r="35" spans="1:11">
      <c r="A35" s="27" t="s">
        <v>49</v>
      </c>
      <c r="B35" s="2" t="s">
        <v>45</v>
      </c>
      <c r="C35">
        <v>66.611000000000004</v>
      </c>
      <c r="D35">
        <v>58.501760182811971</v>
      </c>
      <c r="E35">
        <f t="shared" si="0"/>
        <v>59.101371145999998</v>
      </c>
      <c r="F35">
        <f t="shared" si="1"/>
        <v>5.850176018281197E-5</v>
      </c>
      <c r="G35">
        <f t="shared" si="2"/>
        <v>5.9101371145999996E-5</v>
      </c>
      <c r="H35">
        <f t="shared" si="3"/>
        <v>-4.2328310668035938</v>
      </c>
      <c r="I35">
        <f t="shared" si="4"/>
        <v>-4.228402443412584</v>
      </c>
      <c r="J35">
        <f t="shared" si="5"/>
        <v>0.10473514407099874</v>
      </c>
      <c r="K35">
        <f t="shared" si="6"/>
        <v>0.10473514407099874</v>
      </c>
    </row>
    <row r="36" spans="1:11">
      <c r="A36" s="27" t="s">
        <v>44</v>
      </c>
      <c r="B36" t="s">
        <v>50</v>
      </c>
      <c r="C36">
        <v>145.65</v>
      </c>
      <c r="D36">
        <v>38.79681239802423</v>
      </c>
      <c r="E36">
        <f t="shared" si="0"/>
        <v>80.970355899999987</v>
      </c>
      <c r="F36">
        <f t="shared" si="1"/>
        <v>3.8796812398024231E-5</v>
      </c>
      <c r="G36">
        <f t="shared" si="2"/>
        <v>8.0970355899999988E-5</v>
      </c>
      <c r="H36">
        <f t="shared" si="3"/>
        <v>-4.4112039552000564</v>
      </c>
      <c r="I36">
        <f t="shared" si="4"/>
        <v>-4.0916739518061176</v>
      </c>
      <c r="J36">
        <f t="shared" si="5"/>
        <v>7.8092733477185821</v>
      </c>
      <c r="K36">
        <f t="shared" si="6"/>
        <v>7.8092733477185821</v>
      </c>
    </row>
    <row r="37" spans="1:11">
      <c r="A37" s="27" t="s">
        <v>47</v>
      </c>
      <c r="B37" t="s">
        <v>50</v>
      </c>
      <c r="C37">
        <v>400.63</v>
      </c>
      <c r="D37">
        <v>87.314386572713275</v>
      </c>
      <c r="E37">
        <f t="shared" si="0"/>
        <v>151.51975217999998</v>
      </c>
      <c r="F37">
        <f t="shared" si="1"/>
        <v>8.7314386572713278E-5</v>
      </c>
      <c r="G37">
        <f t="shared" si="2"/>
        <v>1.5151975217999998E-4</v>
      </c>
      <c r="H37">
        <f t="shared" si="3"/>
        <v>-4.0589141927849202</v>
      </c>
      <c r="I37">
        <f t="shared" si="4"/>
        <v>-3.8195307486559189</v>
      </c>
      <c r="J37">
        <f t="shared" si="5"/>
        <v>6.2673521927592697</v>
      </c>
      <c r="K37">
        <f t="shared" si="6"/>
        <v>6.2673521927592697</v>
      </c>
    </row>
    <row r="38" spans="1:11">
      <c r="A38" s="27" t="s">
        <v>48</v>
      </c>
      <c r="B38" t="s">
        <v>50</v>
      </c>
      <c r="C38">
        <v>120.42</v>
      </c>
      <c r="D38">
        <v>74.46363463133585</v>
      </c>
      <c r="E38">
        <f t="shared" si="0"/>
        <v>73.989568120000001</v>
      </c>
      <c r="F38">
        <f t="shared" si="1"/>
        <v>7.4463634631335854E-5</v>
      </c>
      <c r="G38">
        <f t="shared" si="2"/>
        <v>7.3989568120000004E-5</v>
      </c>
      <c r="H38">
        <f t="shared" si="3"/>
        <v>-4.1280557693289035</v>
      </c>
      <c r="I38">
        <f t="shared" si="4"/>
        <v>-4.1308295076647781</v>
      </c>
      <c r="J38">
        <f t="shared" si="5"/>
        <v>-6.7147248046134284E-2</v>
      </c>
      <c r="K38">
        <f t="shared" si="6"/>
        <v>6.7147248046134284E-2</v>
      </c>
    </row>
    <row r="39" spans="1:11">
      <c r="A39" s="27" t="s">
        <v>49</v>
      </c>
      <c r="B39" t="s">
        <v>50</v>
      </c>
      <c r="C39">
        <v>159.78</v>
      </c>
      <c r="D39">
        <v>64.291974582087747</v>
      </c>
      <c r="E39">
        <f t="shared" si="0"/>
        <v>84.879929079999997</v>
      </c>
      <c r="F39">
        <f t="shared" si="1"/>
        <v>6.4291974582087746E-5</v>
      </c>
      <c r="G39">
        <f t="shared" si="2"/>
        <v>8.4879929079999998E-5</v>
      </c>
      <c r="H39">
        <f t="shared" si="3"/>
        <v>-4.1918432356643018</v>
      </c>
      <c r="I39">
        <f t="shared" si="4"/>
        <v>-4.0711949919740285</v>
      </c>
      <c r="J39">
        <f t="shared" si="5"/>
        <v>2.9634602107764394</v>
      </c>
      <c r="K39">
        <f t="shared" si="6"/>
        <v>2.9634602107764394</v>
      </c>
    </row>
    <row r="40" spans="1:11">
      <c r="A40" s="27" t="s">
        <v>44</v>
      </c>
      <c r="B40" t="s">
        <v>51</v>
      </c>
      <c r="C40">
        <v>144.49</v>
      </c>
      <c r="D40">
        <v>82.532440984240452</v>
      </c>
      <c r="E40">
        <f t="shared" si="0"/>
        <v>80.649400139999997</v>
      </c>
      <c r="F40">
        <f t="shared" si="1"/>
        <v>8.2532440984240445E-5</v>
      </c>
      <c r="G40">
        <f t="shared" si="2"/>
        <v>8.0649400139999998E-5</v>
      </c>
      <c r="H40">
        <f t="shared" si="3"/>
        <v>-4.0833753099820269</v>
      </c>
      <c r="I40">
        <f t="shared" si="4"/>
        <v>-4.0933988584902306</v>
      </c>
      <c r="J40">
        <f t="shared" si="5"/>
        <v>-0.24487104371501747</v>
      </c>
      <c r="K40">
        <f t="shared" si="6"/>
        <v>0.24487104371501747</v>
      </c>
    </row>
    <row r="41" spans="1:11">
      <c r="A41" s="27" t="s">
        <v>46</v>
      </c>
      <c r="B41" t="s">
        <v>51</v>
      </c>
      <c r="C41">
        <v>207.48</v>
      </c>
      <c r="D41">
        <v>86.840871532464249</v>
      </c>
      <c r="E41">
        <f t="shared" si="0"/>
        <v>98.07785127999999</v>
      </c>
      <c r="F41">
        <f t="shared" si="1"/>
        <v>8.6840871532464255E-5</v>
      </c>
      <c r="G41">
        <f t="shared" si="2"/>
        <v>9.8077851279999986E-5</v>
      </c>
      <c r="H41">
        <f t="shared" si="3"/>
        <v>-4.0612758266289406</v>
      </c>
      <c r="I41">
        <f t="shared" si="4"/>
        <v>-4.0084290573797103</v>
      </c>
      <c r="J41">
        <f t="shared" si="5"/>
        <v>1.318391032814634</v>
      </c>
      <c r="K41">
        <f t="shared" si="6"/>
        <v>1.318391032814634</v>
      </c>
    </row>
    <row r="42" spans="1:11">
      <c r="A42" s="27" t="s">
        <v>47</v>
      </c>
      <c r="B42" t="s">
        <v>51</v>
      </c>
      <c r="C42">
        <v>195.83</v>
      </c>
      <c r="D42">
        <v>133.76727836663883</v>
      </c>
      <c r="E42">
        <f t="shared" si="0"/>
        <v>94.854459380000009</v>
      </c>
      <c r="F42">
        <f t="shared" si="1"/>
        <v>1.3376727836663884E-4</v>
      </c>
      <c r="G42">
        <f t="shared" si="2"/>
        <v>9.4854459380000006E-5</v>
      </c>
      <c r="H42">
        <f t="shared" si="3"/>
        <v>-3.8736501090103808</v>
      </c>
      <c r="I42">
        <f t="shared" si="4"/>
        <v>-4.0229422468670268</v>
      </c>
      <c r="J42">
        <f t="shared" si="5"/>
        <v>-3.7110186698034577</v>
      </c>
      <c r="K42">
        <f t="shared" si="6"/>
        <v>3.7110186698034577</v>
      </c>
    </row>
    <row r="43" spans="1:11">
      <c r="A43" s="27" t="s">
        <v>48</v>
      </c>
      <c r="B43" t="s">
        <v>51</v>
      </c>
      <c r="C43">
        <v>175.88</v>
      </c>
      <c r="D43">
        <v>80.59604132196624</v>
      </c>
      <c r="E43">
        <f t="shared" si="0"/>
        <v>89.334573679999991</v>
      </c>
      <c r="F43">
        <f t="shared" si="1"/>
        <v>8.0596041321966233E-5</v>
      </c>
      <c r="G43">
        <f t="shared" si="2"/>
        <v>8.9334573679999998E-5</v>
      </c>
      <c r="H43">
        <f t="shared" si="3"/>
        <v>-4.0936862891409049</v>
      </c>
      <c r="I43">
        <f t="shared" si="4"/>
        <v>-4.0489804307807233</v>
      </c>
      <c r="J43">
        <f t="shared" si="5"/>
        <v>1.1041263133880206</v>
      </c>
      <c r="K43">
        <f t="shared" si="6"/>
        <v>1.1041263133880206</v>
      </c>
    </row>
    <row r="44" spans="1:11">
      <c r="A44" s="27" t="s">
        <v>49</v>
      </c>
      <c r="B44" t="s">
        <v>51</v>
      </c>
      <c r="C44">
        <v>245.9</v>
      </c>
      <c r="D44">
        <v>102.54905189656149</v>
      </c>
      <c r="E44">
        <f t="shared" si="0"/>
        <v>108.7081274</v>
      </c>
      <c r="F44">
        <f t="shared" si="1"/>
        <v>1.0254905189656149E-4</v>
      </c>
      <c r="G44">
        <f t="shared" si="2"/>
        <v>1.0870812739999999E-4</v>
      </c>
      <c r="H44">
        <f t="shared" si="3"/>
        <v>-3.9890683504881554</v>
      </c>
      <c r="I44">
        <f t="shared" si="4"/>
        <v>-3.9637379853247161</v>
      </c>
      <c r="J44">
        <f t="shared" si="5"/>
        <v>0.63905246152046635</v>
      </c>
      <c r="K44">
        <f t="shared" si="6"/>
        <v>0.63905246152046635</v>
      </c>
    </row>
    <row r="45" spans="1:11">
      <c r="A45" s="27" t="s">
        <v>44</v>
      </c>
      <c r="B45" s="5" t="s">
        <v>34</v>
      </c>
      <c r="C45">
        <v>17.62</v>
      </c>
      <c r="D45">
        <v>14.619297472663916</v>
      </c>
      <c r="E45">
        <f t="shared" si="0"/>
        <v>45.546247319999999</v>
      </c>
      <c r="F45">
        <f t="shared" si="1"/>
        <v>1.4619297472663916E-5</v>
      </c>
      <c r="G45">
        <f t="shared" si="2"/>
        <v>4.5546247319999997E-5</v>
      </c>
      <c r="H45">
        <f t="shared" si="3"/>
        <v>-4.8350734968088132</v>
      </c>
      <c r="I45">
        <f t="shared" si="4"/>
        <v>-4.3415473999281957</v>
      </c>
      <c r="J45">
        <f t="shared" si="5"/>
        <v>11.367516035613933</v>
      </c>
      <c r="K45">
        <f t="shared" si="6"/>
        <v>11.367516035613933</v>
      </c>
    </row>
    <row r="46" spans="1:11">
      <c r="A46" s="27" t="s">
        <v>46</v>
      </c>
      <c r="B46" s="5" t="s">
        <v>34</v>
      </c>
      <c r="C46">
        <v>18.408000000000001</v>
      </c>
      <c r="D46">
        <v>37.026138133979572</v>
      </c>
      <c r="E46">
        <f t="shared" si="0"/>
        <v>45.764275888</v>
      </c>
      <c r="F46">
        <f t="shared" si="1"/>
        <v>3.702613813397957E-5</v>
      </c>
      <c r="G46">
        <f t="shared" si="2"/>
        <v>4.5764275887999997E-5</v>
      </c>
      <c r="H46">
        <f t="shared" si="3"/>
        <v>-4.4314915829698851</v>
      </c>
      <c r="I46">
        <f t="shared" si="4"/>
        <v>-4.3394734049359949</v>
      </c>
      <c r="J46">
        <f t="shared" si="5"/>
        <v>2.1204918073520824</v>
      </c>
      <c r="K46">
        <f t="shared" si="6"/>
        <v>2.1204918073520824</v>
      </c>
    </row>
    <row r="47" spans="1:11">
      <c r="A47" s="27" t="s">
        <v>47</v>
      </c>
      <c r="B47" s="5" t="s">
        <v>34</v>
      </c>
      <c r="C47">
        <v>39.840000000000003</v>
      </c>
      <c r="D47">
        <v>39.844883889695204</v>
      </c>
      <c r="E47">
        <f t="shared" si="0"/>
        <v>51.694210239999997</v>
      </c>
      <c r="F47">
        <f t="shared" si="1"/>
        <v>3.9844883889695207E-5</v>
      </c>
      <c r="G47">
        <f t="shared" si="2"/>
        <v>5.1694210239999994E-5</v>
      </c>
      <c r="H47">
        <f t="shared" si="3"/>
        <v>-4.3996274343962183</v>
      </c>
      <c r="I47">
        <f t="shared" si="4"/>
        <v>-4.2865580952353479</v>
      </c>
      <c r="J47">
        <f t="shared" si="5"/>
        <v>2.6377652337559754</v>
      </c>
      <c r="K47">
        <f t="shared" si="6"/>
        <v>2.6377652337559754</v>
      </c>
    </row>
    <row r="48" spans="1:11">
      <c r="A48" s="27" t="s">
        <v>48</v>
      </c>
      <c r="B48" s="5" t="s">
        <v>34</v>
      </c>
      <c r="C48">
        <v>27.957999999999998</v>
      </c>
      <c r="D48">
        <v>35.903142127800294</v>
      </c>
      <c r="E48">
        <f t="shared" si="0"/>
        <v>48.406627187999995</v>
      </c>
      <c r="F48">
        <f t="shared" si="1"/>
        <v>3.5903142127800291E-5</v>
      </c>
      <c r="G48">
        <f t="shared" si="2"/>
        <v>4.8406627187999991E-5</v>
      </c>
      <c r="H48">
        <f t="shared" si="3"/>
        <v>-4.4448675416988319</v>
      </c>
      <c r="I48">
        <f t="shared" si="4"/>
        <v>-4.3150951764929646</v>
      </c>
      <c r="J48">
        <f t="shared" si="5"/>
        <v>3.0074044696121414</v>
      </c>
      <c r="K48">
        <f t="shared" si="6"/>
        <v>3.0074044696121414</v>
      </c>
    </row>
    <row r="49" spans="1:11">
      <c r="A49" s="27" t="s">
        <v>49</v>
      </c>
      <c r="B49" s="5" t="s">
        <v>34</v>
      </c>
      <c r="C49">
        <v>33.360999999999997</v>
      </c>
      <c r="D49">
        <v>39.10388302762334</v>
      </c>
      <c r="E49">
        <f t="shared" si="0"/>
        <v>49.901561645999998</v>
      </c>
      <c r="F49">
        <f t="shared" si="1"/>
        <v>3.910388302762334E-5</v>
      </c>
      <c r="G49">
        <f t="shared" si="2"/>
        <v>4.9901561646000001E-5</v>
      </c>
      <c r="H49">
        <f t="shared" si="3"/>
        <v>-4.4077801148870428</v>
      </c>
      <c r="I49">
        <f t="shared" si="4"/>
        <v>-4.3018858631215364</v>
      </c>
      <c r="J49">
        <f t="shared" si="5"/>
        <v>2.4615774368469028</v>
      </c>
      <c r="K49">
        <f t="shared" si="6"/>
        <v>2.4615774368469028</v>
      </c>
    </row>
    <row r="50" spans="1:11">
      <c r="A50" s="25" t="s">
        <v>52</v>
      </c>
      <c r="B50" s="28" t="s">
        <v>36</v>
      </c>
      <c r="C50">
        <v>26.069061319999999</v>
      </c>
      <c r="D50">
        <v>62.839877914224957</v>
      </c>
      <c r="E50">
        <f t="shared" si="0"/>
        <v>47.883984300385521</v>
      </c>
      <c r="F50">
        <f t="shared" si="1"/>
        <v>6.2839877914224959E-5</v>
      </c>
      <c r="G50">
        <f t="shared" si="2"/>
        <v>4.7883984300385524E-5</v>
      </c>
      <c r="H50">
        <f t="shared" si="3"/>
        <v>-4.2017646673817444</v>
      </c>
      <c r="I50">
        <f t="shared" si="4"/>
        <v>-4.3198097202606069</v>
      </c>
      <c r="J50">
        <f t="shared" si="5"/>
        <v>-2.7326447349107106</v>
      </c>
      <c r="K50">
        <f t="shared" si="6"/>
        <v>2.7326447349107106</v>
      </c>
    </row>
    <row r="51" spans="1:11">
      <c r="A51" s="25" t="s">
        <v>53</v>
      </c>
      <c r="B51" s="28" t="s">
        <v>36</v>
      </c>
      <c r="C51">
        <v>82.681488000000002</v>
      </c>
      <c r="D51">
        <v>80.508979157908939</v>
      </c>
      <c r="E51">
        <f t="shared" si="0"/>
        <v>63.547850188767995</v>
      </c>
      <c r="F51">
        <f t="shared" si="1"/>
        <v>8.0508979157908937E-5</v>
      </c>
      <c r="G51">
        <f t="shared" si="2"/>
        <v>6.3547850188767999E-5</v>
      </c>
      <c r="H51">
        <f t="shared" si="3"/>
        <v>-4.094155680113337</v>
      </c>
      <c r="I51">
        <f t="shared" si="4"/>
        <v>-4.1968991369580868</v>
      </c>
      <c r="J51">
        <f t="shared" si="5"/>
        <v>-2.4480802014036085</v>
      </c>
      <c r="K51">
        <f t="shared" si="6"/>
        <v>2.4480802014036085</v>
      </c>
    </row>
    <row r="52" spans="1:11">
      <c r="A52" s="25" t="s">
        <v>41</v>
      </c>
      <c r="B52" s="28" t="s">
        <v>36</v>
      </c>
      <c r="C52">
        <v>34.982529</v>
      </c>
      <c r="D52">
        <v>58.141834434204803</v>
      </c>
      <c r="E52">
        <f t="shared" si="0"/>
        <v>50.350216018893995</v>
      </c>
      <c r="F52">
        <f t="shared" si="1"/>
        <v>5.8141834434204802E-5</v>
      </c>
      <c r="G52">
        <f t="shared" si="2"/>
        <v>5.0350216018893993E-5</v>
      </c>
      <c r="H52">
        <f t="shared" si="3"/>
        <v>-4.2355112699153619</v>
      </c>
      <c r="I52">
        <f t="shared" si="4"/>
        <v>-4.2979986618410004</v>
      </c>
      <c r="J52">
        <f t="shared" si="5"/>
        <v>-1.4538718329631304</v>
      </c>
      <c r="K52">
        <f t="shared" si="6"/>
        <v>1.4538718329631304</v>
      </c>
    </row>
    <row r="53" spans="1:11">
      <c r="A53" s="25" t="s">
        <v>42</v>
      </c>
      <c r="B53" s="28" t="s">
        <v>36</v>
      </c>
      <c r="C53">
        <v>18.301239519999999</v>
      </c>
      <c r="D53">
        <v>37.913947178192416</v>
      </c>
      <c r="E53">
        <f t="shared" si="0"/>
        <v>45.734736757830717</v>
      </c>
      <c r="F53">
        <f t="shared" si="1"/>
        <v>3.7913947178192413E-5</v>
      </c>
      <c r="G53">
        <f t="shared" si="2"/>
        <v>4.5734736757830714E-5</v>
      </c>
      <c r="H53">
        <f t="shared" si="3"/>
        <v>-4.4212009993121226</v>
      </c>
      <c r="I53">
        <f t="shared" si="4"/>
        <v>-4.339753816304543</v>
      </c>
      <c r="J53">
        <f t="shared" si="5"/>
        <v>1.876769661485886</v>
      </c>
      <c r="K53">
        <f t="shared" si="6"/>
        <v>1.876769661485886</v>
      </c>
    </row>
    <row r="54" spans="1:11">
      <c r="A54" s="25" t="s">
        <v>43</v>
      </c>
      <c r="B54" s="28" t="s">
        <v>36</v>
      </c>
      <c r="C54">
        <v>62.808501999999997</v>
      </c>
      <c r="D54">
        <v>88.847308320900709</v>
      </c>
      <c r="E54">
        <f t="shared" si="0"/>
        <v>58.049273184371998</v>
      </c>
      <c r="F54">
        <f t="shared" si="1"/>
        <v>8.884730832090071E-5</v>
      </c>
      <c r="G54">
        <f t="shared" si="2"/>
        <v>5.8049273184372001E-5</v>
      </c>
      <c r="H54">
        <f t="shared" si="3"/>
        <v>-4.0513557248545959</v>
      </c>
      <c r="I54">
        <f t="shared" si="4"/>
        <v>-4.2362032135480199</v>
      </c>
      <c r="J54">
        <f t="shared" si="5"/>
        <v>-4.3635179753004678</v>
      </c>
      <c r="K54">
        <f t="shared" si="6"/>
        <v>4.3635179753004678</v>
      </c>
    </row>
  </sheetData>
  <conditionalFormatting sqref="K2:K5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1"/>
  <sheetViews>
    <sheetView tabSelected="1" workbookViewId="0">
      <selection activeCell="I26" sqref="I26"/>
    </sheetView>
  </sheetViews>
  <sheetFormatPr defaultRowHeight="14.4"/>
  <cols>
    <col min="1" max="1" width="8.734375" style="5"/>
    <col min="5" max="5" width="11.7890625" bestFit="1" customWidth="1"/>
  </cols>
  <sheetData>
    <row r="1" spans="1:20" ht="14.7" thickBot="1">
      <c r="A1" s="32" t="s">
        <v>61</v>
      </c>
      <c r="B1" s="33" t="s">
        <v>62</v>
      </c>
      <c r="C1" s="47" t="s">
        <v>27</v>
      </c>
      <c r="D1" s="35" t="s">
        <v>100</v>
      </c>
      <c r="E1" t="s">
        <v>92</v>
      </c>
      <c r="P1" t="s">
        <v>56</v>
      </c>
      <c r="R1" t="s">
        <v>54</v>
      </c>
      <c r="S1" t="s">
        <v>55</v>
      </c>
    </row>
    <row r="2" spans="1:20">
      <c r="A2" s="39" t="s">
        <v>63</v>
      </c>
      <c r="B2" s="40" t="s">
        <v>64</v>
      </c>
      <c r="C2" s="40">
        <v>44.830961909999999</v>
      </c>
      <c r="D2" s="40">
        <v>0.45713221410419386</v>
      </c>
      <c r="E2">
        <f>(0.2686*(C2)+16.986)/1000000</f>
        <v>2.9027596369025999E-5</v>
      </c>
      <c r="F2">
        <f>D2/1000000</f>
        <v>4.5713221410419384E-7</v>
      </c>
      <c r="G2">
        <f>LOG10(F2)</f>
        <v>-6.3399581729029091</v>
      </c>
      <c r="H2">
        <f>LOG10(E2)</f>
        <v>-4.5371889244468919</v>
      </c>
      <c r="I2">
        <f>((G2-H2)/H2)*100</f>
        <v>39.733175727871739</v>
      </c>
      <c r="J2">
        <f>ABS(I2)</f>
        <v>39.733175727871739</v>
      </c>
      <c r="P2">
        <f>COUNT(J2:J19)</f>
        <v>14</v>
      </c>
      <c r="Q2" s="3" t="s">
        <v>19</v>
      </c>
      <c r="R2" s="4">
        <f>COUNTIF(J2:J19,"&lt;5")</f>
        <v>1</v>
      </c>
      <c r="S2" s="9">
        <f>(R2/P2)*100</f>
        <v>7.1428571428571423</v>
      </c>
    </row>
    <row r="3" spans="1:20">
      <c r="A3" s="40" t="s">
        <v>65</v>
      </c>
      <c r="B3" s="40" t="s">
        <v>66</v>
      </c>
      <c r="C3" s="40"/>
      <c r="E3">
        <f>(-0.0329*(D3)+59.337)/1000000</f>
        <v>5.9337000000000005E-5</v>
      </c>
      <c r="F3">
        <f t="shared" ref="F3:F19" si="0">D3/1000000</f>
        <v>0</v>
      </c>
      <c r="G3" t="e">
        <f t="shared" ref="G3:G19" si="1">LOG10(F3)</f>
        <v>#NUM!</v>
      </c>
      <c r="H3">
        <f t="shared" ref="H3:H19" si="2">LOG10(E3)</f>
        <v>-4.2266744148169728</v>
      </c>
      <c r="I3" t="e">
        <f t="shared" ref="I3:I19" si="3">((G3-H3)/H3)*100</f>
        <v>#NUM!</v>
      </c>
      <c r="L3" t="s">
        <v>89</v>
      </c>
      <c r="Q3" s="29" t="s">
        <v>20</v>
      </c>
      <c r="R3" s="30">
        <f>COUNTIF(J2:J19,"&gt;=5")-COUNTIF(J2:J19,"&gt;10")</f>
        <v>9</v>
      </c>
      <c r="S3" s="31">
        <f>(R3/P2)*100</f>
        <v>64.285714285714292</v>
      </c>
      <c r="T3" s="9">
        <f>S2+S3</f>
        <v>71.428571428571431</v>
      </c>
    </row>
    <row r="4" spans="1:20">
      <c r="A4" s="41" t="s">
        <v>67</v>
      </c>
      <c r="B4" s="41" t="s">
        <v>68</v>
      </c>
      <c r="C4" s="41"/>
      <c r="D4" s="41"/>
      <c r="E4" s="41">
        <f>(14.515*(D4)-109.75)/1000000</f>
        <v>-1.0975E-4</v>
      </c>
      <c r="F4">
        <f t="shared" si="0"/>
        <v>0</v>
      </c>
      <c r="G4" t="e">
        <f t="shared" si="1"/>
        <v>#NUM!</v>
      </c>
      <c r="H4" t="e">
        <f t="shared" si="2"/>
        <v>#NUM!</v>
      </c>
      <c r="I4" t="e">
        <f t="shared" si="3"/>
        <v>#NUM!</v>
      </c>
      <c r="J4" s="41"/>
      <c r="L4" t="s">
        <v>90</v>
      </c>
      <c r="Q4" s="5" t="s">
        <v>57</v>
      </c>
      <c r="R4" s="6">
        <f>COUNTIF(J2:J19,"&gt;=10")-COUNTIF(J2:J19,"&gt;15")</f>
        <v>0</v>
      </c>
      <c r="S4" s="9">
        <f>(R4/P2)*100</f>
        <v>0</v>
      </c>
    </row>
    <row r="5" spans="1:20" ht="14.7" thickBot="1">
      <c r="A5" s="36" t="s">
        <v>50</v>
      </c>
      <c r="B5" s="25" t="s">
        <v>32</v>
      </c>
      <c r="C5" s="25">
        <v>19.950494328543773</v>
      </c>
      <c r="D5" s="25">
        <v>0.26458701966753656</v>
      </c>
      <c r="E5">
        <f>(0.276686*(C5)+40.67104)/1000000</f>
        <v>4.6191062473787461E-5</v>
      </c>
      <c r="F5">
        <f t="shared" si="0"/>
        <v>2.6458701966753656E-7</v>
      </c>
      <c r="G5">
        <f t="shared" si="1"/>
        <v>-6.5774314656097399</v>
      </c>
      <c r="H5">
        <f t="shared" si="2"/>
        <v>-4.3354420481194156</v>
      </c>
      <c r="I5">
        <f t="shared" si="3"/>
        <v>51.713052385576965</v>
      </c>
      <c r="J5">
        <f>ABS(I5)</f>
        <v>51.713052385576965</v>
      </c>
      <c r="L5" t="s">
        <v>91</v>
      </c>
      <c r="Q5" s="5" t="s">
        <v>58</v>
      </c>
      <c r="R5" s="6">
        <f>COUNTIF(J2:J19,"&gt;=15")-COUNTIF(J2:J19,"&gt;20")</f>
        <v>0</v>
      </c>
      <c r="S5" s="9">
        <f>(R5/P2)*100</f>
        <v>0</v>
      </c>
    </row>
    <row r="6" spans="1:20">
      <c r="A6" s="37" t="s">
        <v>51</v>
      </c>
      <c r="B6" s="38" t="s">
        <v>33</v>
      </c>
      <c r="C6" s="48">
        <v>39.255107424973204</v>
      </c>
      <c r="D6" s="25">
        <v>0.69368970277969189</v>
      </c>
      <c r="E6">
        <f>(0.276686*(C6)+40.67104)/1000000</f>
        <v>5.153237865298613E-5</v>
      </c>
      <c r="F6">
        <f t="shared" si="0"/>
        <v>6.9368970277969186E-7</v>
      </c>
      <c r="G6">
        <f t="shared" si="1"/>
        <v>-6.1588347521764808</v>
      </c>
      <c r="H6">
        <f t="shared" si="2"/>
        <v>-4.2879198107307701</v>
      </c>
      <c r="I6">
        <f t="shared" si="3"/>
        <v>43.632227840726792</v>
      </c>
      <c r="J6">
        <f t="shared" ref="J6" si="4">ABS(I6)</f>
        <v>43.632227840726792</v>
      </c>
      <c r="Q6" s="5" t="s">
        <v>17</v>
      </c>
      <c r="R6" s="6">
        <f>COUNTIF(J2:J19,"&gt;=30")-COUNTIF(J2:J19,"&gt;40")</f>
        <v>1</v>
      </c>
      <c r="S6" s="9">
        <f>(R6/P2)*100</f>
        <v>7.1428571428571423</v>
      </c>
    </row>
    <row r="7" spans="1:20" ht="14.7" thickBot="1">
      <c r="A7" s="36" t="s">
        <v>34</v>
      </c>
      <c r="B7" s="25" t="s">
        <v>34</v>
      </c>
      <c r="C7" s="48">
        <v>57.103692952749554</v>
      </c>
      <c r="D7" s="25">
        <v>0.67277936940110905</v>
      </c>
      <c r="E7">
        <f>(0.276686*(C7)+40.67104)/1000000</f>
        <v>5.6470832388324459E-5</v>
      </c>
      <c r="F7">
        <f t="shared" si="0"/>
        <v>6.7277936940110902E-7</v>
      </c>
      <c r="G7">
        <f t="shared" si="1"/>
        <v>-6.1721273345297485</v>
      </c>
      <c r="H7">
        <f t="shared" si="2"/>
        <v>-4.2481758106517908</v>
      </c>
      <c r="I7">
        <f t="shared" si="3"/>
        <v>45.288886562883775</v>
      </c>
      <c r="J7">
        <f>ABS(I7)</f>
        <v>45.288886562883775</v>
      </c>
      <c r="Q7" s="7" t="s">
        <v>18</v>
      </c>
      <c r="R7" s="8">
        <f>COUNTIF(J2:J19,"&gt;=40")-COUNTIF(J2:J19,"&gt;50")</f>
        <v>2</v>
      </c>
      <c r="S7" s="9">
        <f>(R7/P2)*100</f>
        <v>14.285714285714285</v>
      </c>
    </row>
    <row r="8" spans="1:20">
      <c r="A8" s="37" t="s">
        <v>69</v>
      </c>
      <c r="B8" s="38" t="s">
        <v>35</v>
      </c>
      <c r="C8" s="48"/>
      <c r="D8" s="25"/>
      <c r="E8">
        <f>(0.2826*(D8)+40.24)/1000000</f>
        <v>4.0240000000000001E-5</v>
      </c>
      <c r="F8">
        <f t="shared" si="0"/>
        <v>0</v>
      </c>
      <c r="G8" t="e">
        <f t="shared" si="1"/>
        <v>#NUM!</v>
      </c>
      <c r="H8">
        <f t="shared" si="2"/>
        <v>-4.3953420279521289</v>
      </c>
      <c r="I8" t="e">
        <f t="shared" si="3"/>
        <v>#NUM!</v>
      </c>
      <c r="J8" s="41"/>
      <c r="Q8" s="5" t="s">
        <v>57</v>
      </c>
      <c r="R8" s="6">
        <f>COUNTIF(J2:J105,"&gt;=50")-COUNTIF(J2:J105,"&gt;60")</f>
        <v>1</v>
      </c>
      <c r="S8" s="9">
        <f>(R8/P2)*100</f>
        <v>7.1428571428571423</v>
      </c>
    </row>
    <row r="9" spans="1:20" ht="14.7" thickBot="1">
      <c r="A9" s="7" t="s">
        <v>70</v>
      </c>
      <c r="B9" s="34" t="s">
        <v>71</v>
      </c>
      <c r="C9" s="2">
        <v>4.1532146855075522</v>
      </c>
      <c r="D9">
        <v>0.49279080586547708</v>
      </c>
      <c r="E9">
        <f>(0.2826*(C9)+40.24)/1000000</f>
        <v>4.1413698470124435E-5</v>
      </c>
      <c r="F9">
        <f t="shared" si="0"/>
        <v>4.9279080586547705E-7</v>
      </c>
      <c r="G9">
        <f t="shared" si="1"/>
        <v>-6.307337403520453</v>
      </c>
      <c r="H9">
        <f t="shared" si="2"/>
        <v>-4.3828559828895068</v>
      </c>
      <c r="I9">
        <f t="shared" si="3"/>
        <v>43.909300879245045</v>
      </c>
      <c r="J9" s="41">
        <f t="shared" ref="J9:J17" si="5">ABS(G9)</f>
        <v>6.307337403520453</v>
      </c>
    </row>
    <row r="10" spans="1:20">
      <c r="A10" s="42" t="s">
        <v>72</v>
      </c>
      <c r="B10" s="43" t="s">
        <v>73</v>
      </c>
      <c r="C10" s="49">
        <v>25.573560726024276</v>
      </c>
      <c r="D10">
        <v>1.8667504622395792</v>
      </c>
      <c r="E10">
        <f>(1.1953*(C10)+31.675)/1000000</f>
        <v>6.2243077135816825E-5</v>
      </c>
      <c r="F10">
        <f t="shared" si="0"/>
        <v>1.8667504622395792E-6</v>
      </c>
      <c r="G10">
        <f t="shared" si="1"/>
        <v>-5.7289137324608967</v>
      </c>
      <c r="H10">
        <f t="shared" si="2"/>
        <v>-4.2059089450982015</v>
      </c>
      <c r="I10">
        <f t="shared" si="3"/>
        <v>36.21107368807138</v>
      </c>
      <c r="J10">
        <f t="shared" si="5"/>
        <v>5.7289137324608967</v>
      </c>
    </row>
    <row r="11" spans="1:20">
      <c r="A11" s="39" t="s">
        <v>74</v>
      </c>
      <c r="B11" s="40" t="s">
        <v>75</v>
      </c>
      <c r="C11" s="40">
        <v>12.525257826646023</v>
      </c>
      <c r="D11">
        <v>0.48257028465204199</v>
      </c>
      <c r="E11">
        <f>(0.8314*(C11)+65.048)/1000000</f>
        <v>7.5461499357073501E-5</v>
      </c>
      <c r="F11">
        <f t="shared" si="0"/>
        <v>4.8257028465204198E-7</v>
      </c>
      <c r="G11">
        <f t="shared" si="1"/>
        <v>-6.3164394242609907</v>
      </c>
      <c r="H11">
        <f t="shared" si="2"/>
        <v>-4.1222745699800489</v>
      </c>
      <c r="I11">
        <f t="shared" si="3"/>
        <v>53.227042911204272</v>
      </c>
      <c r="J11">
        <f t="shared" si="5"/>
        <v>6.3164394242609907</v>
      </c>
    </row>
    <row r="12" spans="1:20">
      <c r="A12" s="40" t="s">
        <v>76</v>
      </c>
      <c r="B12" s="40" t="s">
        <v>77</v>
      </c>
      <c r="C12" s="40">
        <v>9.6681485143981742</v>
      </c>
      <c r="D12">
        <v>0.7013266658395404</v>
      </c>
      <c r="E12">
        <f>(-0.1193*(C12)+80.123)/1000000</f>
        <v>7.8969589882232303E-5</v>
      </c>
      <c r="F12">
        <f t="shared" si="0"/>
        <v>7.0132666583954043E-7</v>
      </c>
      <c r="G12">
        <f t="shared" si="1"/>
        <v>-6.1540796480443207</v>
      </c>
      <c r="H12">
        <f t="shared" si="2"/>
        <v>-4.1025401174300917</v>
      </c>
      <c r="I12">
        <f t="shared" si="3"/>
        <v>50.006568415944017</v>
      </c>
      <c r="J12">
        <f t="shared" si="5"/>
        <v>6.1540796480443207</v>
      </c>
    </row>
    <row r="13" spans="1:20">
      <c r="A13" t="s">
        <v>78</v>
      </c>
      <c r="B13" t="s">
        <v>79</v>
      </c>
      <c r="C13">
        <v>12.975640294478747</v>
      </c>
      <c r="D13">
        <v>1.0952649105262018</v>
      </c>
      <c r="E13">
        <f>(0.2826*(C13)+40.24)/1000000</f>
        <v>4.3906915947219692E-5</v>
      </c>
      <c r="F13">
        <f t="shared" si="0"/>
        <v>1.0952649105262017E-6</v>
      </c>
      <c r="G13">
        <f t="shared" si="1"/>
        <v>-5.9604808257871538</v>
      </c>
      <c r="H13">
        <f t="shared" si="2"/>
        <v>-4.3574670669753894</v>
      </c>
      <c r="I13">
        <f t="shared" si="3"/>
        <v>36.787742378152963</v>
      </c>
      <c r="J13" s="41">
        <f t="shared" si="5"/>
        <v>5.9604808257871538</v>
      </c>
    </row>
    <row r="14" spans="1:20">
      <c r="A14" s="40" t="s">
        <v>80</v>
      </c>
      <c r="B14" s="40" t="s">
        <v>81</v>
      </c>
      <c r="C14" s="40">
        <v>29.15322105372849</v>
      </c>
      <c r="D14">
        <v>0.64170773472899201</v>
      </c>
      <c r="E14">
        <f>(0.0689*(C14)+80.195)/1000000</f>
        <v>8.2203656930601875E-5</v>
      </c>
      <c r="F14">
        <f t="shared" si="0"/>
        <v>6.4170773472899206E-7</v>
      </c>
      <c r="G14">
        <f t="shared" si="1"/>
        <v>-6.192662725973145</v>
      </c>
      <c r="H14">
        <f t="shared" si="2"/>
        <v>-4.085108861906976</v>
      </c>
      <c r="I14">
        <f t="shared" si="3"/>
        <v>51.5911309908725</v>
      </c>
      <c r="J14">
        <f t="shared" si="5"/>
        <v>6.192662725973145</v>
      </c>
    </row>
    <row r="15" spans="1:20" ht="14.7" thickBot="1">
      <c r="A15" s="39" t="s">
        <v>82</v>
      </c>
      <c r="B15" s="40" t="s">
        <v>5</v>
      </c>
      <c r="C15" s="40">
        <v>42.30596410153327</v>
      </c>
      <c r="D15">
        <v>3.2925375194493354</v>
      </c>
      <c r="E15">
        <f>(-0.8186*(C15)+124.49)/1000000</f>
        <v>8.9858337786484865E-5</v>
      </c>
      <c r="F15">
        <f t="shared" si="0"/>
        <v>3.2925375194493354E-6</v>
      </c>
      <c r="G15">
        <f t="shared" si="1"/>
        <v>-5.4824692674225277</v>
      </c>
      <c r="H15">
        <f t="shared" si="2"/>
        <v>-4.0464416193155968</v>
      </c>
      <c r="I15">
        <f t="shared" si="3"/>
        <v>35.488653567917197</v>
      </c>
      <c r="J15">
        <f t="shared" si="5"/>
        <v>5.4824692674225277</v>
      </c>
    </row>
    <row r="16" spans="1:20">
      <c r="A16" s="42" t="s">
        <v>83</v>
      </c>
      <c r="B16" s="43" t="s">
        <v>84</v>
      </c>
      <c r="C16" s="49">
        <v>18.39983588379248</v>
      </c>
      <c r="D16">
        <v>12.055958152735858</v>
      </c>
      <c r="E16">
        <f>(1.3178*(C16)-8.052)/1000000</f>
        <v>1.6195303727661735E-5</v>
      </c>
      <c r="F16">
        <f t="shared" si="0"/>
        <v>1.2055958152735857E-5</v>
      </c>
      <c r="G16">
        <f t="shared" si="1"/>
        <v>-4.9187982681641813</v>
      </c>
      <c r="H16">
        <f t="shared" si="2"/>
        <v>-4.7906109027936257</v>
      </c>
      <c r="I16">
        <f t="shared" si="3"/>
        <v>2.6758041504853525</v>
      </c>
      <c r="J16">
        <f t="shared" si="5"/>
        <v>4.9187982681641813</v>
      </c>
    </row>
    <row r="17" spans="1:10" ht="14.7" thickBot="1">
      <c r="A17" s="39" t="s">
        <v>0</v>
      </c>
      <c r="B17" s="40" t="s">
        <v>0</v>
      </c>
      <c r="C17" s="40">
        <v>52.483575476772536</v>
      </c>
      <c r="D17">
        <v>1.0458088086350661</v>
      </c>
      <c r="E17">
        <f>(-0.2664*(C17)+95.42)/1000000</f>
        <v>8.1438375492987806E-5</v>
      </c>
      <c r="F17">
        <f t="shared" si="0"/>
        <v>1.0458088086350661E-6</v>
      </c>
      <c r="G17">
        <f t="shared" si="1"/>
        <v>-5.9805477045167938</v>
      </c>
      <c r="H17">
        <f t="shared" si="2"/>
        <v>-4.0891708980901731</v>
      </c>
      <c r="I17">
        <f t="shared" si="3"/>
        <v>46.253307909189587</v>
      </c>
      <c r="J17">
        <f t="shared" si="5"/>
        <v>5.9805477045167938</v>
      </c>
    </row>
    <row r="18" spans="1:10">
      <c r="A18" s="44" t="s">
        <v>85</v>
      </c>
      <c r="B18" s="45" t="s">
        <v>86</v>
      </c>
      <c r="C18" s="50"/>
      <c r="D18" s="46"/>
      <c r="E18" s="46">
        <f>(2.6843*(D18)+21.412)/1000000</f>
        <v>2.1411999999999998E-5</v>
      </c>
      <c r="F18">
        <f t="shared" si="0"/>
        <v>0</v>
      </c>
      <c r="G18" t="e">
        <f t="shared" si="1"/>
        <v>#NUM!</v>
      </c>
      <c r="H18">
        <f t="shared" si="2"/>
        <v>-4.6693427652886061</v>
      </c>
      <c r="I18" t="e">
        <f t="shared" si="3"/>
        <v>#NUM!</v>
      </c>
      <c r="J18" s="46"/>
    </row>
    <row r="19" spans="1:10">
      <c r="A19" s="39" t="s">
        <v>87</v>
      </c>
      <c r="B19" s="40" t="s">
        <v>88</v>
      </c>
      <c r="C19" s="40">
        <v>19.213821320988242</v>
      </c>
      <c r="D19">
        <v>0.33279901610290108</v>
      </c>
      <c r="E19">
        <f>(0.7329*(C19)+40.727)/1000000</f>
        <v>5.4808809646152274E-5</v>
      </c>
      <c r="F19">
        <f t="shared" si="0"/>
        <v>3.327990161029011E-7</v>
      </c>
      <c r="G19">
        <f t="shared" si="1"/>
        <v>-6.477817966340786</v>
      </c>
      <c r="H19">
        <f t="shared" si="2"/>
        <v>-4.2611496299606646</v>
      </c>
      <c r="I19">
        <f t="shared" si="3"/>
        <v>52.020429435156537</v>
      </c>
      <c r="J19">
        <f>ABS(G19)</f>
        <v>6.477817966340786</v>
      </c>
    </row>
    <row r="21" spans="1:10">
      <c r="C21" s="25"/>
      <c r="D21" s="25"/>
      <c r="E21" s="25"/>
      <c r="F21" s="25"/>
    </row>
  </sheetData>
  <conditionalFormatting sqref="J5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6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7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22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9B42AE74D60E418A7E2B1580B99405" ma:contentTypeVersion="13" ma:contentTypeDescription="Create a new document." ma:contentTypeScope="" ma:versionID="38d80507be4fb39d80c22027e769dbd1">
  <xsd:schema xmlns:xsd="http://www.w3.org/2001/XMLSchema" xmlns:xs="http://www.w3.org/2001/XMLSchema" xmlns:p="http://schemas.microsoft.com/office/2006/metadata/properties" xmlns:ns3="95eb5723-7106-44bb-a639-31347bb53c37" xmlns:ns4="1c758613-bf00-40ac-aeb4-4c08974a7e76" targetNamespace="http://schemas.microsoft.com/office/2006/metadata/properties" ma:root="true" ma:fieldsID="3834faaad29c08da577a1d29d0e2a01d" ns3:_="" ns4:_="">
    <xsd:import namespace="95eb5723-7106-44bb-a639-31347bb53c37"/>
    <xsd:import namespace="1c758613-bf00-40ac-aeb4-4c08974a7e7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eb5723-7106-44bb-a639-31347bb53c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758613-bf00-40ac-aeb4-4c08974a7e7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F04E4D-DC84-45DE-9D8F-4D9A1A00B7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eb5723-7106-44bb-a639-31347bb53c37"/>
    <ds:schemaRef ds:uri="1c758613-bf00-40ac-aeb4-4c08974a7e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334405-598F-45AD-BB6B-69FCF1F1FF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FECED3-91E6-40B8-865E-A1CB75C7C4B1}">
  <ds:schemaRefs>
    <ds:schemaRef ds:uri="http://www.w3.org/XML/1998/namespace"/>
    <ds:schemaRef ds:uri="95eb5723-7106-44bb-a639-31347bb53c37"/>
    <ds:schemaRef ds:uri="1c758613-bf00-40ac-aeb4-4c08974a7e76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AA</vt:lpstr>
      <vt:lpstr>PCSA</vt:lpstr>
      <vt:lpstr>DATA</vt:lpstr>
      <vt:lpstr>ONE SIZE FITS ALL</vt:lpstr>
      <vt:lpstr>Ostrich</vt:lpstr>
    </vt:vector>
  </TitlesOfParts>
  <Company>RVC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Wiseman, Ashleigh</dc:creator>
  <cp:lastModifiedBy>John</cp:lastModifiedBy>
  <dcterms:created xsi:type="dcterms:W3CDTF">2021-07-15T09:20:27Z</dcterms:created>
  <dcterms:modified xsi:type="dcterms:W3CDTF">2022-08-27T06:46:04Z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0x010100589B42AE74D60E418A7E2B1580B99405</vt:lpwstr>
  </property>
</Properties>
</file>