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chris\Dropbox (The University of Manchester)\Papers\17 Darvill et al, 2022, GRL, Canada coastal cosmo\GRL submission\Revised manuscript 3\"/>
    </mc:Choice>
  </mc:AlternateContent>
  <xr:revisionPtr revIDLastSave="0" documentId="13_ncr:1_{5099622F-C3C9-4ACD-9BD6-1C74954DE3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-10 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24" i="1" l="1"/>
  <c r="X123" i="1"/>
  <c r="X119" i="1"/>
  <c r="X118" i="1"/>
  <c r="X113" i="1"/>
  <c r="X112" i="1"/>
  <c r="X106" i="1"/>
  <c r="X101" i="1"/>
  <c r="X98" i="1"/>
  <c r="X97" i="1"/>
  <c r="X92" i="1"/>
  <c r="X89" i="1"/>
  <c r="X83" i="1"/>
  <c r="X82" i="1"/>
  <c r="X78" i="1"/>
  <c r="X74" i="1"/>
  <c r="X73" i="1"/>
  <c r="X68" i="1"/>
  <c r="X67" i="1"/>
  <c r="X60" i="1"/>
  <c r="X54" i="1"/>
  <c r="X53" i="1"/>
  <c r="X47" i="1"/>
  <c r="X42" i="1"/>
  <c r="X36" i="1"/>
  <c r="X35" i="1"/>
  <c r="X34" i="1"/>
  <c r="X33" i="1"/>
  <c r="X32" i="1"/>
  <c r="X25" i="1"/>
  <c r="X24" i="1"/>
  <c r="X17" i="1"/>
  <c r="X16" i="1"/>
  <c r="X15" i="1"/>
  <c r="X14" i="1"/>
  <c r="X13" i="1"/>
  <c r="X6" i="1"/>
  <c r="Y124" i="1"/>
  <c r="Y123" i="1"/>
  <c r="Y119" i="1"/>
  <c r="Y118" i="1"/>
  <c r="Y113" i="1"/>
  <c r="Y112" i="1"/>
  <c r="Y106" i="1"/>
  <c r="Y101" i="1"/>
  <c r="Y98" i="1"/>
  <c r="Y97" i="1"/>
  <c r="Y92" i="1"/>
  <c r="Y89" i="1"/>
  <c r="Y83" i="1"/>
  <c r="Y82" i="1"/>
  <c r="Y78" i="1"/>
  <c r="Y74" i="1"/>
  <c r="Y73" i="1"/>
  <c r="Y68" i="1"/>
  <c r="Y67" i="1"/>
  <c r="Y60" i="1"/>
  <c r="Y54" i="1"/>
  <c r="Y53" i="1"/>
  <c r="Y47" i="1"/>
  <c r="Y42" i="1"/>
  <c r="Y36" i="1"/>
  <c r="Y35" i="1"/>
  <c r="Y34" i="1"/>
  <c r="Y33" i="1"/>
  <c r="Y32" i="1"/>
  <c r="Y25" i="1"/>
  <c r="Y24" i="1"/>
  <c r="Y17" i="1"/>
  <c r="Y16" i="1"/>
  <c r="Y15" i="1"/>
  <c r="Y14" i="1"/>
  <c r="Y6" i="1"/>
  <c r="Y13" i="1"/>
  <c r="AD113" i="1" l="1"/>
  <c r="AC113" i="1"/>
  <c r="AB113" i="1"/>
  <c r="AA113" i="1"/>
  <c r="Z113" i="1"/>
  <c r="W113" i="1"/>
  <c r="AD36" i="1" l="1"/>
  <c r="AC36" i="1"/>
  <c r="AB36" i="1"/>
  <c r="AA36" i="1"/>
  <c r="Z36" i="1"/>
  <c r="W36" i="1"/>
  <c r="AD33" i="1"/>
  <c r="AC33" i="1"/>
  <c r="AB33" i="1"/>
  <c r="AA33" i="1"/>
  <c r="Z33" i="1"/>
  <c r="W33" i="1"/>
  <c r="AD83" i="1" l="1"/>
  <c r="AC83" i="1"/>
  <c r="AB83" i="1"/>
  <c r="AA83" i="1"/>
  <c r="Z83" i="1"/>
  <c r="W83" i="1"/>
  <c r="AD74" i="1"/>
  <c r="AC74" i="1"/>
  <c r="AB74" i="1"/>
  <c r="AA74" i="1"/>
  <c r="Z74" i="1"/>
  <c r="W74" i="1"/>
  <c r="AD54" i="1"/>
  <c r="AC54" i="1"/>
  <c r="AB54" i="1"/>
  <c r="AA54" i="1"/>
  <c r="Z54" i="1"/>
  <c r="W54" i="1"/>
  <c r="AD25" i="1" l="1"/>
  <c r="AC25" i="1"/>
  <c r="AB25" i="1"/>
  <c r="AA25" i="1"/>
  <c r="Z25" i="1"/>
  <c r="W25" i="1"/>
  <c r="AD14" i="1"/>
  <c r="AC14" i="1"/>
  <c r="AB14" i="1"/>
  <c r="AA14" i="1"/>
  <c r="Z14" i="1"/>
  <c r="W14" i="1"/>
  <c r="AD17" i="1"/>
  <c r="AC17" i="1"/>
  <c r="AB17" i="1"/>
  <c r="AA17" i="1"/>
  <c r="Z17" i="1"/>
  <c r="W17" i="1"/>
  <c r="AC32" i="1" l="1"/>
  <c r="AB32" i="1"/>
  <c r="AA32" i="1"/>
  <c r="Z32" i="1"/>
  <c r="W32" i="1"/>
  <c r="AD32" i="1"/>
  <c r="AA34" i="1"/>
  <c r="Z34" i="1"/>
  <c r="W34" i="1"/>
  <c r="W124" i="1"/>
  <c r="W123" i="1"/>
  <c r="W119" i="1"/>
  <c r="W118" i="1"/>
  <c r="W112" i="1"/>
  <c r="W106" i="1"/>
  <c r="W103" i="1"/>
  <c r="W101" i="1"/>
  <c r="W98" i="1"/>
  <c r="W97" i="1"/>
  <c r="W92" i="1"/>
  <c r="W85" i="1"/>
  <c r="W89" i="1"/>
  <c r="W82" i="1"/>
  <c r="W78" i="1"/>
  <c r="W73" i="1"/>
  <c r="W68" i="1"/>
  <c r="W67" i="1"/>
  <c r="W60" i="1"/>
  <c r="W53" i="1"/>
  <c r="W47" i="1"/>
  <c r="W42" i="1"/>
  <c r="W35" i="1"/>
  <c r="W24" i="1"/>
  <c r="W19" i="1"/>
  <c r="W16" i="1"/>
  <c r="W15" i="1"/>
  <c r="W13" i="1"/>
  <c r="W6" i="1"/>
  <c r="AA35" i="1"/>
  <c r="AD34" i="1"/>
  <c r="AC34" i="1"/>
  <c r="AB34" i="1"/>
  <c r="Z97" i="1"/>
  <c r="Z124" i="1"/>
  <c r="Z123" i="1"/>
  <c r="Z119" i="1"/>
  <c r="Z118" i="1"/>
  <c r="Z112" i="1"/>
  <c r="Z106" i="1"/>
  <c r="Z101" i="1"/>
  <c r="Z98" i="1"/>
  <c r="Z92" i="1"/>
  <c r="Z89" i="1"/>
  <c r="Z82" i="1"/>
  <c r="Z78" i="1"/>
  <c r="Z73" i="1"/>
  <c r="Z68" i="1"/>
  <c r="Z67" i="1"/>
  <c r="Z60" i="1"/>
  <c r="Z53" i="1"/>
  <c r="Z47" i="1"/>
  <c r="Z42" i="1"/>
  <c r="Z35" i="1"/>
  <c r="Z24" i="1"/>
  <c r="Z16" i="1"/>
  <c r="Z15" i="1"/>
  <c r="Z13" i="1"/>
  <c r="Z6" i="1"/>
  <c r="AA124" i="1"/>
  <c r="AA123" i="1"/>
  <c r="AA119" i="1"/>
  <c r="AA118" i="1"/>
  <c r="AA112" i="1"/>
  <c r="AA106" i="1"/>
  <c r="AA101" i="1"/>
  <c r="AA98" i="1"/>
  <c r="AA97" i="1"/>
  <c r="AA92" i="1"/>
  <c r="AA89" i="1"/>
  <c r="AA82" i="1"/>
  <c r="AA78" i="1"/>
  <c r="AA73" i="1"/>
  <c r="AA68" i="1"/>
  <c r="AA67" i="1"/>
  <c r="AA60" i="1"/>
  <c r="AA53" i="1"/>
  <c r="AA47" i="1"/>
  <c r="AA42" i="1"/>
  <c r="AA24" i="1"/>
  <c r="AD124" i="1"/>
  <c r="AD123" i="1"/>
  <c r="AD119" i="1"/>
  <c r="AD118" i="1"/>
  <c r="AD112" i="1"/>
  <c r="AD106" i="1"/>
  <c r="AD101" i="1"/>
  <c r="AD98" i="1"/>
  <c r="AD97" i="1"/>
  <c r="AD92" i="1"/>
  <c r="AD89" i="1"/>
  <c r="AD82" i="1"/>
  <c r="AD78" i="1"/>
  <c r="AD73" i="1"/>
  <c r="AD68" i="1"/>
  <c r="AD67" i="1"/>
  <c r="AD60" i="1"/>
  <c r="AD53" i="1"/>
  <c r="AD47" i="1"/>
  <c r="AD42" i="1"/>
  <c r="AD35" i="1"/>
  <c r="AD24" i="1"/>
  <c r="AD16" i="1"/>
  <c r="AD15" i="1"/>
  <c r="AD13" i="1"/>
  <c r="AD6" i="1"/>
  <c r="AA16" i="1"/>
  <c r="AA15" i="1"/>
  <c r="AA13" i="1"/>
  <c r="AA6" i="1"/>
  <c r="AC124" i="1"/>
  <c r="AC123" i="1"/>
  <c r="AC119" i="1"/>
  <c r="AC118" i="1"/>
  <c r="AC112" i="1"/>
  <c r="AC106" i="1"/>
  <c r="AC101" i="1"/>
  <c r="AC98" i="1"/>
  <c r="AC97" i="1"/>
  <c r="AC92" i="1"/>
  <c r="AC89" i="1"/>
  <c r="AC82" i="1"/>
  <c r="AC78" i="1"/>
  <c r="AC73" i="1"/>
  <c r="AC68" i="1"/>
  <c r="AC67" i="1"/>
  <c r="AC60" i="1"/>
  <c r="AC53" i="1"/>
  <c r="AC47" i="1"/>
  <c r="AC42" i="1"/>
  <c r="AC35" i="1"/>
  <c r="AC24" i="1"/>
  <c r="AC16" i="1"/>
  <c r="AC15" i="1"/>
  <c r="AC13" i="1"/>
  <c r="AC6" i="1"/>
  <c r="AB15" i="1"/>
  <c r="AB13" i="1"/>
  <c r="AB35" i="1" l="1"/>
  <c r="AB16" i="1"/>
  <c r="AB124" i="1"/>
  <c r="AB123" i="1"/>
  <c r="AB119" i="1"/>
  <c r="AB118" i="1"/>
  <c r="AB112" i="1"/>
  <c r="AB106" i="1"/>
  <c r="AB101" i="1"/>
  <c r="AB98" i="1"/>
  <c r="AB97" i="1"/>
  <c r="AB92" i="1"/>
  <c r="AB89" i="1"/>
  <c r="AB82" i="1"/>
  <c r="AB78" i="1"/>
  <c r="AB73" i="1"/>
  <c r="AB68" i="1"/>
  <c r="AB67" i="1"/>
  <c r="AB60" i="1"/>
  <c r="AB53" i="1"/>
  <c r="AB47" i="1"/>
  <c r="AB42" i="1"/>
  <c r="AB24" i="1"/>
  <c r="AB6" i="1"/>
</calcChain>
</file>

<file path=xl/sharedStrings.xml><?xml version="1.0" encoding="utf-8"?>
<sst xmlns="http://schemas.openxmlformats.org/spreadsheetml/2006/main" count="653" uniqueCount="168">
  <si>
    <t>Sample ID</t>
  </si>
  <si>
    <t>Site Name</t>
  </si>
  <si>
    <t>Sample Type</t>
  </si>
  <si>
    <t>AMS Lab</t>
  </si>
  <si>
    <t>Latitude</t>
  </si>
  <si>
    <t>Longitude</t>
  </si>
  <si>
    <t>Elevation</t>
  </si>
  <si>
    <t>Thickness</t>
  </si>
  <si>
    <t>Density</t>
  </si>
  <si>
    <t>Topographic</t>
  </si>
  <si>
    <t>Mass Quartz</t>
  </si>
  <si>
    <t>Carrier</t>
  </si>
  <si>
    <t>10Be/9Be</t>
  </si>
  <si>
    <t>10Be</t>
  </si>
  <si>
    <t>Age</t>
  </si>
  <si>
    <t>Internal error</t>
  </si>
  <si>
    <t>External error</t>
  </si>
  <si>
    <t>Weighted mean</t>
  </si>
  <si>
    <t>Weighted error</t>
  </si>
  <si>
    <t>Median</t>
  </si>
  <si>
    <t>(DD)</t>
  </si>
  <si>
    <t>(m)</t>
  </si>
  <si>
    <t>(cm)</t>
  </si>
  <si>
    <t>Shielding Factor</t>
  </si>
  <si>
    <t>(g)</t>
  </si>
  <si>
    <t>(mg Be)</t>
  </si>
  <si>
    <t>± 1σ</t>
  </si>
  <si>
    <t>(ka)</t>
  </si>
  <si>
    <t>18-HEC-01-ARZ</t>
  </si>
  <si>
    <t>Aristazabal Island</t>
  </si>
  <si>
    <t>Erratic boulder</t>
  </si>
  <si>
    <t>TUCNL</t>
  </si>
  <si>
    <t>PRIME</t>
  </si>
  <si>
    <t>18-HEC-02-ARZ</t>
  </si>
  <si>
    <t>18-HEC-03-ARZ</t>
  </si>
  <si>
    <t>18-HEC-04-BNK</t>
  </si>
  <si>
    <t>Banks Island</t>
  </si>
  <si>
    <t>18-HEC-05-BNK</t>
  </si>
  <si>
    <t>18-HEC-06-BNK</t>
  </si>
  <si>
    <t>18-HEC-07-BNK</t>
  </si>
  <si>
    <t>18-HEC-08-BNK</t>
  </si>
  <si>
    <t>Bedrock</t>
  </si>
  <si>
    <t>18-HEC-09-BNK</t>
  </si>
  <si>
    <t>18-HEC-11-SKM</t>
  </si>
  <si>
    <t>Skip Mountain</t>
  </si>
  <si>
    <t>18-HEC-12-POR</t>
  </si>
  <si>
    <t>Porcher Island</t>
  </si>
  <si>
    <t>18-HEC-13-POR</t>
  </si>
  <si>
    <t>18-HEC-14-POR</t>
  </si>
  <si>
    <t>18-HEC-15-POR</t>
  </si>
  <si>
    <t>18-HEC-16-PIT</t>
  </si>
  <si>
    <t>Pitt Island</t>
  </si>
  <si>
    <t>18-HEC-17-PIT</t>
  </si>
  <si>
    <t>18-HEC-18-PIT</t>
  </si>
  <si>
    <t>18-HEC-19-PIT</t>
  </si>
  <si>
    <t>18-HEC-20-PIT</t>
  </si>
  <si>
    <t>18-HEC-21-PIT</t>
  </si>
  <si>
    <t>16-CAL-19-BUX</t>
  </si>
  <si>
    <t>Outside Mt. Buxton moraine</t>
  </si>
  <si>
    <t>16-CAL-20-BUX</t>
  </si>
  <si>
    <t>16-CAL-21-BUX</t>
  </si>
  <si>
    <t>16-CAL-22-BUX</t>
  </si>
  <si>
    <t>16-CAL-23-BUX</t>
  </si>
  <si>
    <t>16-CAL-15-SI</t>
  </si>
  <si>
    <t>Southwest Calvert Island</t>
  </si>
  <si>
    <t>16-CAL-16-SI</t>
  </si>
  <si>
    <t>16-CAL-17-SI</t>
  </si>
  <si>
    <t>16-CAL-18-SI</t>
  </si>
  <si>
    <t>16-CAL-02-HUN</t>
  </si>
  <si>
    <t>Hunter Island</t>
  </si>
  <si>
    <t>16-CAL-03-HUN</t>
  </si>
  <si>
    <t>16-CAL-04-HUN</t>
  </si>
  <si>
    <t>16-CAL-05-HUN</t>
  </si>
  <si>
    <t>16-CAL-06-HUN</t>
  </si>
  <si>
    <t>15-CAL-12-BUX</t>
  </si>
  <si>
    <t>Mt Buxton moraine</t>
  </si>
  <si>
    <t>Moraine boulder</t>
  </si>
  <si>
    <t>15-CAL-13-BUX</t>
  </si>
  <si>
    <t>15-CAL-14-BUX</t>
  </si>
  <si>
    <t>15-CAL-15-BUX</t>
  </si>
  <si>
    <t>15-CAL-16-BUX</t>
  </si>
  <si>
    <t>15-CAL-06-HEC</t>
  </si>
  <si>
    <t>Hecate Island</t>
  </si>
  <si>
    <t>15-CAL-07-HEC</t>
  </si>
  <si>
    <t>15-CAL-08-HEC</t>
  </si>
  <si>
    <t>15-CAL-09-HEC</t>
  </si>
  <si>
    <t>15-CAL-10-HEC</t>
  </si>
  <si>
    <t>15-CAL-11-HEC</t>
  </si>
  <si>
    <t>with outliers</t>
  </si>
  <si>
    <t>16-CAL-08-KING</t>
  </si>
  <si>
    <t>King Island</t>
  </si>
  <si>
    <t>16-CAL-09-KING</t>
  </si>
  <si>
    <t>16-CAL-10-KING</t>
  </si>
  <si>
    <t>16-CAL-11-KING</t>
  </si>
  <si>
    <t>16-CAL-12-RIV</t>
  </si>
  <si>
    <t>Rivers Inlet</t>
  </si>
  <si>
    <t>16-CAL-13-RIV</t>
  </si>
  <si>
    <t>16-CAL-14-RIV</t>
  </si>
  <si>
    <t>17JB028</t>
  </si>
  <si>
    <t>South Kuiu</t>
  </si>
  <si>
    <t>Buffalo</t>
  </si>
  <si>
    <t>LLNL</t>
  </si>
  <si>
    <t>17JB042</t>
  </si>
  <si>
    <t>17JB043</t>
  </si>
  <si>
    <t>16JB051</t>
  </si>
  <si>
    <t>Canoe Point</t>
  </si>
  <si>
    <t>17JB027</t>
  </si>
  <si>
    <t>Sukkawan Island</t>
  </si>
  <si>
    <t>17JB040</t>
  </si>
  <si>
    <t>17JB041</t>
  </si>
  <si>
    <t>16JB045</t>
  </si>
  <si>
    <t>Northern Prince of Wales Island</t>
  </si>
  <si>
    <t>16JB048</t>
  </si>
  <si>
    <t>17JB029</t>
  </si>
  <si>
    <t>Zarembo Island</t>
  </si>
  <si>
    <t>17JB030</t>
  </si>
  <si>
    <t>17SEAK-13</t>
  </si>
  <si>
    <t>17SEAK-14</t>
  </si>
  <si>
    <t>17SEAK-10</t>
  </si>
  <si>
    <t>Anan</t>
  </si>
  <si>
    <t>17SEAK-11</t>
  </si>
  <si>
    <t>17JB026</t>
  </si>
  <si>
    <t>Bokan Mountain</t>
  </si>
  <si>
    <t>15SEAK-1</t>
  </si>
  <si>
    <t>Dall Island</t>
  </si>
  <si>
    <t>15SEAK-2</t>
  </si>
  <si>
    <t>15SEAK-3</t>
  </si>
  <si>
    <t>Suemez Island</t>
  </si>
  <si>
    <t>15SEAK-4</t>
  </si>
  <si>
    <t>15SEAK-5</t>
  </si>
  <si>
    <t>15SEAK-6</t>
  </si>
  <si>
    <t>15SEAK-7</t>
  </si>
  <si>
    <t>15SEAK-8</t>
  </si>
  <si>
    <t>Baker Island</t>
  </si>
  <si>
    <t>15SEAK-9</t>
  </si>
  <si>
    <t>15SEAK-10</t>
  </si>
  <si>
    <t>15SEAK-11</t>
  </si>
  <si>
    <t>15SEAK-12</t>
  </si>
  <si>
    <t>Warren Island</t>
  </si>
  <si>
    <t>15SEAK-13</t>
  </si>
  <si>
    <t>16WI002</t>
  </si>
  <si>
    <t>Source</t>
  </si>
  <si>
    <t>This study</t>
  </si>
  <si>
    <t>Darvill et al. (2018)</t>
  </si>
  <si>
    <t>Lesnek et al. (2018)</t>
  </si>
  <si>
    <t>Lesnek et al. (2020)</t>
  </si>
  <si>
    <t>IQR</t>
  </si>
  <si>
    <t>Range</t>
  </si>
  <si>
    <t>Q3–Q1</t>
  </si>
  <si>
    <t>Max–Min</t>
  </si>
  <si>
    <t>Chem. Lab</t>
  </si>
  <si>
    <r>
      <t>(10</t>
    </r>
    <r>
      <rPr>
        <vertAlign val="superscript"/>
        <sz val="8"/>
        <color rgb="FF000000"/>
        <rFont val="Arial"/>
        <family val="2"/>
      </rPr>
      <t>4</t>
    </r>
    <r>
      <rPr>
        <sz val="8"/>
        <color rgb="FF000000"/>
        <rFont val="Arial"/>
      </rPr>
      <t xml:space="preserve"> atoms g</t>
    </r>
    <r>
      <rPr>
        <vertAlign val="superscript"/>
        <sz val="8"/>
        <color rgb="FF000000"/>
        <rFont val="Arial"/>
        <family val="2"/>
      </rPr>
      <t>-1</t>
    </r>
    <r>
      <rPr>
        <sz val="8"/>
        <color rgb="FF000000"/>
        <rFont val="Arial"/>
      </rPr>
      <t>)</t>
    </r>
  </si>
  <si>
    <r>
      <t>(10</t>
    </r>
    <r>
      <rPr>
        <vertAlign val="superscript"/>
        <sz val="8"/>
        <color rgb="FF000000"/>
        <rFont val="Arial"/>
        <family val="2"/>
      </rPr>
      <t>-13</t>
    </r>
    <r>
      <rPr>
        <sz val="8"/>
        <color rgb="FF000000"/>
        <rFont val="Arial"/>
      </rPr>
      <t>)</t>
    </r>
  </si>
  <si>
    <r>
      <t>(g cm</t>
    </r>
    <r>
      <rPr>
        <vertAlign val="superscript"/>
        <sz val="8"/>
        <color rgb="FF000000"/>
        <rFont val="Arial"/>
        <family val="2"/>
      </rPr>
      <t>-3</t>
    </r>
    <r>
      <rPr>
        <sz val="8"/>
        <color rgb="FF000000"/>
        <rFont val="Arial"/>
      </rPr>
      <t>)</t>
    </r>
  </si>
  <si>
    <t>&gt;400 m a.s.l.</t>
  </si>
  <si>
    <t>&gt;800 m a.s.l.</t>
  </si>
  <si>
    <t>Count</t>
  </si>
  <si>
    <t>without outliers</t>
  </si>
  <si>
    <t>all ages with outliers</t>
  </si>
  <si>
    <t>all ages without outliers</t>
  </si>
  <si>
    <t>Potential</t>
  </si>
  <si>
    <t>N</t>
  </si>
  <si>
    <t>Y</t>
  </si>
  <si>
    <t>&lt;100 m a.s.l. with outliers</t>
  </si>
  <si>
    <t>&lt;100 m a.s.l. without outliers</t>
  </si>
  <si>
    <t>group outlier?</t>
  </si>
  <si>
    <t>&lt;400 m a.s.l. with outliers</t>
  </si>
  <si>
    <t>&lt;400 m a.s.l. without outliers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</si>
</sst>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"/>
    <numFmt numFmtId="166" formatCode="0.0000"/>
  </numFmts>
  <fonts count="5" x14ac:knownFonts="1">
    <font>
      <sz val="10"/>
      <color rgb="FF000000"/>
      <name val="Arial"/>
    </font>
    <font>
      <sz val="8"/>
      <color rgb="FF000000"/>
      <name val="Arial"/>
    </font>
    <font>
      <sz val="8"/>
      <color theme="1"/>
      <name val="Arial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left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2" fillId="0" borderId="0" xfId="0" applyFont="1"/>
    <xf numFmtId="1" fontId="1" fillId="2" borderId="0" xfId="0" applyNumberFormat="1" applyFont="1" applyFill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2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6" fontId="1" fillId="2" borderId="3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left" vertical="center"/>
    </xf>
    <xf numFmtId="165" fontId="1" fillId="2" borderId="3" xfId="0" applyNumberFormat="1" applyFont="1" applyFill="1" applyBorder="1" applyAlignment="1">
      <alignment vertical="center"/>
    </xf>
    <xf numFmtId="1" fontId="1" fillId="2" borderId="3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166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Font="1" applyBorder="1" applyAlignment="1"/>
    <xf numFmtId="165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E963"/>
  <sheetViews>
    <sheetView tabSelected="1" topLeftCell="A94" zoomScaleNormal="100" workbookViewId="0">
      <pane xSplit="3" topLeftCell="S1" activePane="topRight" state="frozen"/>
      <selection pane="topRight" activeCell="X124" sqref="X124"/>
    </sheetView>
  </sheetViews>
  <sheetFormatPr defaultColWidth="14.42578125" defaultRowHeight="15.75" customHeight="1" x14ac:dyDescent="0.2"/>
  <cols>
    <col min="1" max="1" width="12.5703125" bestFit="1" customWidth="1"/>
    <col min="2" max="2" width="14.85546875" bestFit="1" customWidth="1"/>
    <col min="3" max="3" width="23.140625" bestFit="1" customWidth="1"/>
    <col min="4" max="4" width="12" bestFit="1" customWidth="1"/>
    <col min="5" max="5" width="8.28515625" bestFit="1" customWidth="1"/>
    <col min="6" max="6" width="7.28515625" bestFit="1" customWidth="1"/>
    <col min="7" max="11" width="9.5703125" customWidth="1"/>
    <col min="12" max="12" width="11.85546875" customWidth="1"/>
    <col min="13" max="13" width="9.5703125" customWidth="1"/>
    <col min="14" max="14" width="6.42578125" customWidth="1"/>
    <col min="15" max="15" width="7.7109375" customWidth="1"/>
    <col min="16" max="16" width="4.140625" customWidth="1"/>
    <col min="17" max="17" width="11.5703125" customWidth="1"/>
    <col min="18" max="18" width="4.140625" customWidth="1"/>
    <col min="19" max="21" width="11" customWidth="1"/>
    <col min="22" max="22" width="10.42578125" bestFit="1" customWidth="1"/>
    <col min="23" max="23" width="11" customWidth="1"/>
    <col min="24" max="24" width="11.5703125" bestFit="1" customWidth="1"/>
    <col min="25" max="25" width="11.28515625" bestFit="1" customWidth="1"/>
    <col min="26" max="26" width="7.140625" customWidth="1"/>
    <col min="27" max="27" width="8.5703125" customWidth="1"/>
    <col min="28" max="28" width="7.140625" customWidth="1"/>
    <col min="29" max="29" width="5.5703125" bestFit="1" customWidth="1"/>
    <col min="30" max="30" width="8.5703125" customWidth="1"/>
    <col min="31" max="31" width="7.42578125" customWidth="1"/>
  </cols>
  <sheetData>
    <row r="1" spans="1:31" x14ac:dyDescent="0.2">
      <c r="A1" s="1" t="s">
        <v>0</v>
      </c>
      <c r="B1" s="1" t="s">
        <v>141</v>
      </c>
      <c r="C1" s="1" t="s">
        <v>1</v>
      </c>
      <c r="D1" s="1" t="s">
        <v>2</v>
      </c>
      <c r="E1" s="31" t="s">
        <v>150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3"/>
      <c r="Q1" s="2" t="s">
        <v>13</v>
      </c>
      <c r="R1" s="3"/>
      <c r="S1" s="2" t="s">
        <v>14</v>
      </c>
      <c r="T1" s="2" t="s">
        <v>15</v>
      </c>
      <c r="U1" s="2" t="s">
        <v>16</v>
      </c>
      <c r="V1" s="31" t="s">
        <v>160</v>
      </c>
      <c r="W1" s="31" t="s">
        <v>156</v>
      </c>
      <c r="X1" s="31" t="s">
        <v>17</v>
      </c>
      <c r="Y1" s="31" t="s">
        <v>18</v>
      </c>
      <c r="Z1" s="32" t="s">
        <v>147</v>
      </c>
      <c r="AA1" s="32" t="s">
        <v>149</v>
      </c>
      <c r="AB1" s="31" t="s">
        <v>19</v>
      </c>
      <c r="AC1" s="32" t="s">
        <v>146</v>
      </c>
      <c r="AD1" s="32" t="s">
        <v>148</v>
      </c>
    </row>
    <row r="2" spans="1:31" x14ac:dyDescent="0.2">
      <c r="A2" s="4"/>
      <c r="B2" s="4"/>
      <c r="C2" s="4"/>
      <c r="D2" s="4"/>
      <c r="E2" s="5"/>
      <c r="F2" s="5"/>
      <c r="G2" s="6" t="s">
        <v>20</v>
      </c>
      <c r="H2" s="6" t="s">
        <v>20</v>
      </c>
      <c r="I2" s="6" t="s">
        <v>21</v>
      </c>
      <c r="J2" s="6" t="s">
        <v>22</v>
      </c>
      <c r="K2" s="33" t="s">
        <v>153</v>
      </c>
      <c r="L2" s="6" t="s">
        <v>23</v>
      </c>
      <c r="M2" s="6" t="s">
        <v>24</v>
      </c>
      <c r="N2" s="6" t="s">
        <v>25</v>
      </c>
      <c r="O2" s="33" t="s">
        <v>152</v>
      </c>
      <c r="P2" s="6" t="s">
        <v>26</v>
      </c>
      <c r="Q2" s="33" t="s">
        <v>151</v>
      </c>
      <c r="R2" s="6" t="s">
        <v>26</v>
      </c>
      <c r="S2" s="33" t="s">
        <v>27</v>
      </c>
      <c r="T2" s="6" t="s">
        <v>27</v>
      </c>
      <c r="U2" s="6" t="s">
        <v>27</v>
      </c>
      <c r="V2" s="33" t="s">
        <v>165</v>
      </c>
      <c r="W2" s="6"/>
      <c r="X2" s="33" t="s">
        <v>27</v>
      </c>
      <c r="Y2" s="33" t="s">
        <v>27</v>
      </c>
      <c r="Z2" s="33" t="s">
        <v>27</v>
      </c>
      <c r="AA2" s="42" t="s">
        <v>27</v>
      </c>
      <c r="AB2" s="42" t="s">
        <v>27</v>
      </c>
      <c r="AC2" s="42" t="s">
        <v>27</v>
      </c>
      <c r="AD2" s="42" t="s">
        <v>27</v>
      </c>
    </row>
    <row r="3" spans="1:31" x14ac:dyDescent="0.2">
      <c r="A3" s="7" t="s">
        <v>28</v>
      </c>
      <c r="B3" s="22" t="s">
        <v>142</v>
      </c>
      <c r="C3" s="39" t="s">
        <v>29</v>
      </c>
      <c r="D3" s="7" t="s">
        <v>30</v>
      </c>
      <c r="E3" s="8" t="s">
        <v>31</v>
      </c>
      <c r="F3" s="8" t="s">
        <v>32</v>
      </c>
      <c r="G3" s="9">
        <v>52.715231000000003</v>
      </c>
      <c r="H3" s="9">
        <v>-129.21052900000001</v>
      </c>
      <c r="I3" s="8">
        <v>96</v>
      </c>
      <c r="J3" s="10">
        <v>1.8</v>
      </c>
      <c r="K3" s="10">
        <v>2.7</v>
      </c>
      <c r="L3" s="9">
        <v>0.99923099999999998</v>
      </c>
      <c r="M3" s="11">
        <v>15.7963</v>
      </c>
      <c r="N3" s="11">
        <v>0.2873</v>
      </c>
      <c r="O3" s="12">
        <v>0.57499999999999996</v>
      </c>
      <c r="P3" s="12">
        <v>2.01E-2</v>
      </c>
      <c r="Q3" s="13">
        <v>6.58</v>
      </c>
      <c r="R3" s="13">
        <v>0.25</v>
      </c>
      <c r="S3" s="24">
        <v>14.314</v>
      </c>
      <c r="T3" s="10">
        <v>0.55100000000000005</v>
      </c>
      <c r="U3" s="10">
        <v>1.0109999999999999</v>
      </c>
      <c r="V3" s="24" t="s">
        <v>161</v>
      </c>
      <c r="W3" s="29"/>
      <c r="X3" s="34"/>
      <c r="Y3" s="34"/>
      <c r="Z3" s="35"/>
      <c r="AA3" s="35"/>
      <c r="AB3" s="35"/>
      <c r="AC3" s="35"/>
      <c r="AD3" s="35"/>
    </row>
    <row r="4" spans="1:31" x14ac:dyDescent="0.2">
      <c r="A4" s="7" t="s">
        <v>33</v>
      </c>
      <c r="B4" s="22" t="s">
        <v>142</v>
      </c>
      <c r="C4" s="7" t="s">
        <v>29</v>
      </c>
      <c r="D4" s="7" t="s">
        <v>30</v>
      </c>
      <c r="E4" s="8" t="s">
        <v>31</v>
      </c>
      <c r="F4" s="8" t="s">
        <v>32</v>
      </c>
      <c r="G4" s="9">
        <v>52.715220000000002</v>
      </c>
      <c r="H4" s="9">
        <v>-129.21052900000001</v>
      </c>
      <c r="I4" s="8">
        <v>94</v>
      </c>
      <c r="J4" s="10">
        <v>4.2</v>
      </c>
      <c r="K4" s="10">
        <v>2.7</v>
      </c>
      <c r="L4" s="9">
        <v>0.98488900000000001</v>
      </c>
      <c r="M4" s="11">
        <v>15.121600000000001</v>
      </c>
      <c r="N4" s="11">
        <v>0.30630000000000002</v>
      </c>
      <c r="O4" s="12">
        <v>0.55200000000000005</v>
      </c>
      <c r="P4" s="12">
        <v>2.01E-2</v>
      </c>
      <c r="Q4" s="13">
        <v>7.04</v>
      </c>
      <c r="R4" s="13">
        <v>0.28000000000000003</v>
      </c>
      <c r="S4" s="24">
        <v>15.834</v>
      </c>
      <c r="T4" s="10">
        <v>0.63200000000000001</v>
      </c>
      <c r="U4" s="10">
        <v>1.131</v>
      </c>
      <c r="V4" s="24" t="s">
        <v>161</v>
      </c>
      <c r="W4" s="29"/>
      <c r="X4" s="34"/>
      <c r="Y4" s="34"/>
      <c r="Z4" s="35"/>
      <c r="AA4" s="35"/>
      <c r="AB4" s="35"/>
      <c r="AC4" s="35"/>
      <c r="AD4" s="35"/>
    </row>
    <row r="5" spans="1:31" x14ac:dyDescent="0.2">
      <c r="A5" s="7" t="s">
        <v>34</v>
      </c>
      <c r="B5" s="22" t="s">
        <v>142</v>
      </c>
      <c r="C5" s="7" t="s">
        <v>29</v>
      </c>
      <c r="D5" s="7" t="s">
        <v>30</v>
      </c>
      <c r="E5" s="8" t="s">
        <v>31</v>
      </c>
      <c r="F5" s="8" t="s">
        <v>32</v>
      </c>
      <c r="G5" s="9">
        <v>52.714936999999999</v>
      </c>
      <c r="H5" s="9">
        <v>-129.20993899999999</v>
      </c>
      <c r="I5" s="8">
        <v>92</v>
      </c>
      <c r="J5" s="10">
        <v>2.9</v>
      </c>
      <c r="K5" s="10">
        <v>2.7</v>
      </c>
      <c r="L5" s="9">
        <v>0.99866299999999997</v>
      </c>
      <c r="M5" s="11">
        <v>15.0632</v>
      </c>
      <c r="N5" s="11">
        <v>0.27179999999999999</v>
      </c>
      <c r="O5" s="12">
        <v>0.64500000000000002</v>
      </c>
      <c r="P5" s="12">
        <v>2.2499999999999999E-2</v>
      </c>
      <c r="Q5" s="13">
        <v>7.34</v>
      </c>
      <c r="R5" s="13">
        <v>0.28000000000000003</v>
      </c>
      <c r="S5" s="24">
        <v>16.14</v>
      </c>
      <c r="T5" s="10">
        <v>0.61799999999999999</v>
      </c>
      <c r="U5" s="10">
        <v>1.1379999999999999</v>
      </c>
      <c r="V5" s="24" t="s">
        <v>161</v>
      </c>
      <c r="W5" s="29"/>
      <c r="X5" s="34"/>
      <c r="Y5" s="34"/>
      <c r="Z5" s="35"/>
      <c r="AA5" s="35"/>
      <c r="AB5" s="35"/>
      <c r="AC5" s="35"/>
      <c r="AD5" s="35"/>
    </row>
    <row r="6" spans="1:31" x14ac:dyDescent="0.2">
      <c r="A6" s="4"/>
      <c r="B6" s="4"/>
      <c r="C6" s="4"/>
      <c r="D6" s="4"/>
      <c r="E6" s="5"/>
      <c r="F6" s="5"/>
      <c r="G6" s="15"/>
      <c r="H6" s="15"/>
      <c r="I6" s="5"/>
      <c r="J6" s="16"/>
      <c r="K6" s="16"/>
      <c r="L6" s="15"/>
      <c r="M6" s="17"/>
      <c r="N6" s="17"/>
      <c r="O6" s="12"/>
      <c r="P6" s="12"/>
      <c r="Q6" s="18"/>
      <c r="R6" s="18"/>
      <c r="S6" s="16"/>
      <c r="T6" s="41"/>
      <c r="U6" s="16"/>
      <c r="V6" s="16"/>
      <c r="W6" s="30">
        <f>COUNT(S3:S5)</f>
        <v>3</v>
      </c>
      <c r="X6" s="36">
        <f>(SUM((S3/(U3^2)),(S4/(U4^2)),(S5/(U5^2))))/(SUM((1/U3^2),(1/U4^2),(1/U5^2)))</f>
        <v>15.340053396277861</v>
      </c>
      <c r="Y6" s="36">
        <f>SQRT(1/(SUM((1/U3^2),(1/U4^2),(1/U5^2))))</f>
        <v>0.62840969484668219</v>
      </c>
      <c r="Z6" s="36">
        <f>MAX(S3:S5)-MIN(S3:S5)</f>
        <v>1.8260000000000005</v>
      </c>
      <c r="AA6" s="36" t="str">
        <f>TEXT(ROUND(MAX(S3:S5),1),"#.0")&amp;"–"&amp;TEXT(ROUND(MIN(S3:S5),1),"#.0")</f>
        <v>16.1–14.3</v>
      </c>
      <c r="AB6" s="36">
        <f>MEDIAN(S3:S5)</f>
        <v>15.834</v>
      </c>
      <c r="AC6" s="36">
        <f>QUARTILE(S3:S5,3)-QUARTILE(S3:S5,1)</f>
        <v>0.91300000000000026</v>
      </c>
      <c r="AD6" s="36" t="str">
        <f>TEXT(ROUND(QUARTILE(S3:S5,3),1),"#.0")&amp;"–"&amp;TEXT(ROUND(QUARTILE(S3:S5,1),1),"#.0")</f>
        <v>16.0–15.1</v>
      </c>
    </row>
    <row r="7" spans="1:31" x14ac:dyDescent="0.2">
      <c r="A7" s="7" t="s">
        <v>35</v>
      </c>
      <c r="B7" s="22" t="s">
        <v>142</v>
      </c>
      <c r="C7" s="7" t="s">
        <v>36</v>
      </c>
      <c r="D7" s="7" t="s">
        <v>30</v>
      </c>
      <c r="E7" s="8" t="s">
        <v>31</v>
      </c>
      <c r="F7" s="8" t="s">
        <v>32</v>
      </c>
      <c r="G7" s="9">
        <v>53.307403999999998</v>
      </c>
      <c r="H7" s="9">
        <v>-129.87273200000001</v>
      </c>
      <c r="I7" s="8">
        <v>86</v>
      </c>
      <c r="J7" s="10">
        <v>3.1</v>
      </c>
      <c r="K7" s="10">
        <v>2.7</v>
      </c>
      <c r="L7" s="9">
        <v>0.99954100000000001</v>
      </c>
      <c r="M7" s="11">
        <v>20.147300000000001</v>
      </c>
      <c r="N7" s="11">
        <v>0.3337</v>
      </c>
      <c r="O7" s="19">
        <v>0.74099999999999988</v>
      </c>
      <c r="P7" s="19">
        <v>5.1200000000000002E-2</v>
      </c>
      <c r="Q7" s="13">
        <v>8.09</v>
      </c>
      <c r="R7" s="13">
        <v>0.56000000000000005</v>
      </c>
      <c r="S7" s="10">
        <v>17.748999999999999</v>
      </c>
      <c r="T7" s="10">
        <v>1.2270000000000001</v>
      </c>
      <c r="U7" s="10">
        <v>1.6160000000000001</v>
      </c>
      <c r="V7" s="24" t="s">
        <v>161</v>
      </c>
      <c r="W7" s="29"/>
      <c r="X7" s="34"/>
      <c r="Y7" s="34"/>
      <c r="Z7" s="35"/>
      <c r="AA7" s="35"/>
      <c r="AB7" s="35"/>
      <c r="AC7" s="35"/>
      <c r="AD7" s="35"/>
    </row>
    <row r="8" spans="1:31" x14ac:dyDescent="0.2">
      <c r="A8" s="7" t="s">
        <v>37</v>
      </c>
      <c r="B8" s="22" t="s">
        <v>142</v>
      </c>
      <c r="C8" s="7" t="s">
        <v>36</v>
      </c>
      <c r="D8" s="7" t="s">
        <v>30</v>
      </c>
      <c r="E8" s="8" t="s">
        <v>31</v>
      </c>
      <c r="F8" s="8" t="s">
        <v>32</v>
      </c>
      <c r="G8" s="9">
        <v>53.307690000000001</v>
      </c>
      <c r="H8" s="9">
        <v>-129.87242699999999</v>
      </c>
      <c r="I8" s="8">
        <v>84</v>
      </c>
      <c r="J8" s="10">
        <v>2.2000000000000002</v>
      </c>
      <c r="K8" s="10">
        <v>2.7</v>
      </c>
      <c r="L8" s="9">
        <v>0.99804300000000001</v>
      </c>
      <c r="M8" s="11">
        <v>15.4802</v>
      </c>
      <c r="N8" s="11">
        <v>0.2994</v>
      </c>
      <c r="O8" s="12">
        <v>0.70499999999999996</v>
      </c>
      <c r="P8" s="12">
        <v>2.2599999999999999E-2</v>
      </c>
      <c r="Q8" s="13">
        <v>8.6300000000000008</v>
      </c>
      <c r="R8" s="13">
        <v>0.3</v>
      </c>
      <c r="S8" s="10">
        <v>18.838000000000001</v>
      </c>
      <c r="T8" s="10">
        <v>0.66200000000000003</v>
      </c>
      <c r="U8" s="10">
        <v>1.298</v>
      </c>
      <c r="V8" s="24" t="s">
        <v>161</v>
      </c>
      <c r="W8" s="29"/>
      <c r="X8" s="34"/>
      <c r="Y8" s="34"/>
      <c r="Z8" s="35"/>
      <c r="AA8" s="35"/>
      <c r="AB8" s="35"/>
      <c r="AC8" s="35"/>
      <c r="AD8" s="35"/>
    </row>
    <row r="9" spans="1:31" x14ac:dyDescent="0.2">
      <c r="A9" s="7" t="s">
        <v>38</v>
      </c>
      <c r="B9" s="22" t="s">
        <v>142</v>
      </c>
      <c r="C9" s="7" t="s">
        <v>36</v>
      </c>
      <c r="D9" s="7" t="s">
        <v>30</v>
      </c>
      <c r="E9" s="8" t="s">
        <v>31</v>
      </c>
      <c r="F9" s="8" t="s">
        <v>32</v>
      </c>
      <c r="G9" s="9">
        <v>53.307941999999997</v>
      </c>
      <c r="H9" s="9">
        <v>-129.87136000000001</v>
      </c>
      <c r="I9" s="8">
        <v>78</v>
      </c>
      <c r="J9" s="10">
        <v>2.1</v>
      </c>
      <c r="K9" s="10">
        <v>2.7</v>
      </c>
      <c r="L9" s="9">
        <v>0.98977700000000002</v>
      </c>
      <c r="M9" s="11">
        <v>15.026199999999999</v>
      </c>
      <c r="N9" s="11">
        <v>0.30880000000000002</v>
      </c>
      <c r="O9" s="12">
        <v>0.47599999999999998</v>
      </c>
      <c r="P9" s="12">
        <v>1.78E-2</v>
      </c>
      <c r="Q9" s="13">
        <v>6.13</v>
      </c>
      <c r="R9" s="13">
        <v>0.25</v>
      </c>
      <c r="S9" s="10">
        <v>13.622999999999999</v>
      </c>
      <c r="T9" s="10">
        <v>0.56299999999999994</v>
      </c>
      <c r="U9" s="10">
        <v>0.98299999999999998</v>
      </c>
      <c r="V9" s="24" t="s">
        <v>162</v>
      </c>
      <c r="W9" s="29"/>
      <c r="X9" s="34"/>
      <c r="Y9" s="34"/>
      <c r="Z9" s="35"/>
      <c r="AA9" s="35"/>
      <c r="AB9" s="35"/>
      <c r="AC9" s="35"/>
      <c r="AD9" s="35"/>
    </row>
    <row r="10" spans="1:31" x14ac:dyDescent="0.2">
      <c r="A10" s="62" t="s">
        <v>39</v>
      </c>
      <c r="B10" s="62" t="s">
        <v>142</v>
      </c>
      <c r="C10" s="62" t="s">
        <v>36</v>
      </c>
      <c r="D10" s="62" t="s">
        <v>30</v>
      </c>
      <c r="E10" s="63" t="s">
        <v>31</v>
      </c>
      <c r="F10" s="63" t="s">
        <v>32</v>
      </c>
      <c r="G10" s="64">
        <v>53.308424000000002</v>
      </c>
      <c r="H10" s="64">
        <v>-129.87222299999999</v>
      </c>
      <c r="I10" s="63">
        <v>83</v>
      </c>
      <c r="J10" s="65">
        <v>2.2999999999999998</v>
      </c>
      <c r="K10" s="65">
        <v>2.7</v>
      </c>
      <c r="L10" s="64">
        <v>0.99750499999999998</v>
      </c>
      <c r="M10" s="66">
        <v>15.6038</v>
      </c>
      <c r="N10" s="66">
        <v>0.29959999999999998</v>
      </c>
      <c r="O10" s="67">
        <v>0.66100000000000003</v>
      </c>
      <c r="P10" s="67">
        <v>2.6499999999999999E-2</v>
      </c>
      <c r="Q10" s="67">
        <v>7.96</v>
      </c>
      <c r="R10" s="67">
        <v>0.41</v>
      </c>
      <c r="S10" s="65">
        <v>17.439</v>
      </c>
      <c r="T10" s="65">
        <v>0.89700000000000002</v>
      </c>
      <c r="U10" s="65">
        <v>1.3680000000000001</v>
      </c>
      <c r="V10" s="65" t="s">
        <v>161</v>
      </c>
      <c r="W10" s="68"/>
      <c r="X10" s="69"/>
      <c r="Y10" s="69"/>
      <c r="Z10" s="69"/>
      <c r="AA10" s="69"/>
      <c r="AB10" s="69"/>
      <c r="AC10" s="69"/>
      <c r="AD10" s="69"/>
    </row>
    <row r="11" spans="1:31" x14ac:dyDescent="0.2">
      <c r="A11" s="7" t="s">
        <v>40</v>
      </c>
      <c r="B11" s="22" t="s">
        <v>142</v>
      </c>
      <c r="C11" s="7" t="s">
        <v>36</v>
      </c>
      <c r="D11" s="7" t="s">
        <v>41</v>
      </c>
      <c r="E11" s="8" t="s">
        <v>31</v>
      </c>
      <c r="F11" s="8" t="s">
        <v>32</v>
      </c>
      <c r="G11" s="9">
        <v>53.331569999999999</v>
      </c>
      <c r="H11" s="9">
        <v>-129.90207599999999</v>
      </c>
      <c r="I11" s="8">
        <v>420</v>
      </c>
      <c r="J11" s="10">
        <v>3</v>
      </c>
      <c r="K11" s="10">
        <v>2.7</v>
      </c>
      <c r="L11" s="9">
        <v>1</v>
      </c>
      <c r="M11" s="11">
        <v>20.275300000000001</v>
      </c>
      <c r="N11" s="11">
        <v>0.30630000000000002</v>
      </c>
      <c r="O11" s="12">
        <v>1.07</v>
      </c>
      <c r="P11" s="12">
        <v>3.1300000000000001E-2</v>
      </c>
      <c r="Q11" s="13">
        <v>10.7</v>
      </c>
      <c r="R11" s="13">
        <v>0.33</v>
      </c>
      <c r="S11" s="10">
        <v>17.138999999999999</v>
      </c>
      <c r="T11" s="10">
        <v>0.52800000000000002</v>
      </c>
      <c r="U11" s="10">
        <v>1.1439999999999999</v>
      </c>
      <c r="V11" s="24" t="s">
        <v>161</v>
      </c>
      <c r="W11" s="29"/>
      <c r="X11" s="34"/>
      <c r="Y11" s="34"/>
      <c r="Z11" s="35"/>
      <c r="AA11" s="35"/>
      <c r="AB11" s="35"/>
      <c r="AC11" s="35"/>
      <c r="AD11" s="35"/>
    </row>
    <row r="12" spans="1:31" x14ac:dyDescent="0.2">
      <c r="A12" s="7" t="s">
        <v>42</v>
      </c>
      <c r="B12" s="22" t="s">
        <v>142</v>
      </c>
      <c r="C12" s="7" t="s">
        <v>36</v>
      </c>
      <c r="D12" s="7" t="s">
        <v>30</v>
      </c>
      <c r="E12" s="8" t="s">
        <v>31</v>
      </c>
      <c r="F12" s="8" t="s">
        <v>32</v>
      </c>
      <c r="G12" s="9">
        <v>53.331615999999997</v>
      </c>
      <c r="H12" s="9">
        <v>-129.9023</v>
      </c>
      <c r="I12" s="8">
        <v>425</v>
      </c>
      <c r="J12" s="10">
        <v>3.2</v>
      </c>
      <c r="K12" s="10">
        <v>2.7</v>
      </c>
      <c r="L12" s="9">
        <v>0.94398700000000002</v>
      </c>
      <c r="M12" s="11">
        <v>15.6181</v>
      </c>
      <c r="N12" s="11">
        <v>0.30669999999999997</v>
      </c>
      <c r="O12" s="12">
        <v>0.7569999999999999</v>
      </c>
      <c r="P12" s="12">
        <v>2.63E-2</v>
      </c>
      <c r="Q12" s="13">
        <v>9.43</v>
      </c>
      <c r="R12" s="13">
        <v>0.35</v>
      </c>
      <c r="S12" s="10">
        <v>15.959</v>
      </c>
      <c r="T12" s="10">
        <v>0.59899999999999998</v>
      </c>
      <c r="U12" s="10">
        <v>1.119</v>
      </c>
      <c r="V12" s="24" t="s">
        <v>161</v>
      </c>
      <c r="W12" s="29"/>
      <c r="X12" s="34"/>
      <c r="Y12" s="34"/>
      <c r="Z12" s="34"/>
      <c r="AA12" s="34"/>
      <c r="AB12" s="34"/>
      <c r="AC12" s="34"/>
      <c r="AD12" s="34"/>
    </row>
    <row r="13" spans="1:31" x14ac:dyDescent="0.2">
      <c r="A13" s="22"/>
      <c r="B13" s="22"/>
      <c r="C13" s="22"/>
      <c r="D13" s="22"/>
      <c r="E13" s="14"/>
      <c r="F13" s="14"/>
      <c r="G13" s="23"/>
      <c r="H13" s="23"/>
      <c r="I13" s="14"/>
      <c r="J13" s="24"/>
      <c r="K13" s="24"/>
      <c r="L13" s="23"/>
      <c r="M13" s="25"/>
      <c r="N13" s="25"/>
      <c r="O13" s="13"/>
      <c r="P13" s="13"/>
      <c r="Q13" s="13"/>
      <c r="R13" s="13"/>
      <c r="S13" s="24"/>
      <c r="T13" s="40" t="s">
        <v>163</v>
      </c>
      <c r="U13" s="24"/>
      <c r="V13" s="24"/>
      <c r="W13" s="29">
        <f>COUNT(S7:S10)</f>
        <v>4</v>
      </c>
      <c r="X13" s="34">
        <f>(SUM((S7/(U7^2)),(S8/(U8^2)),(S9/(U9^2)),(S10/(U10^2))))/(SUM((1/U7^2),(1/U8^2),(1/U9^2),(1/U10^2)))</f>
        <v>16.260523482678675</v>
      </c>
      <c r="Y13" s="34">
        <f>SQRT(1/(SUM((1/U7^2),(1/U8^2),(1/U9^2),(1/U10^2))))</f>
        <v>0.62675190351032883</v>
      </c>
      <c r="Z13" s="34">
        <f>MAX(S7:S10)-MIN(S7:S10)</f>
        <v>5.2150000000000016</v>
      </c>
      <c r="AA13" s="34" t="str">
        <f>TEXT(ROUND(MAX(S7:S10),1),"#.0")&amp;"–"&amp;TEXT(ROUND(MIN(S7:S10),1),"#.0")</f>
        <v>18.8–13.6</v>
      </c>
      <c r="AB13" s="34">
        <f>MEDIAN(S7:S10)</f>
        <v>17.594000000000001</v>
      </c>
      <c r="AC13" s="34">
        <f>QUARTILE(S7:S10,3)-QUARTILE(S7:S10,1)</f>
        <v>1.536249999999999</v>
      </c>
      <c r="AD13" s="34" t="str">
        <f>TEXT(ROUND(QUARTILE(S7:S10,3),1),"#.0")&amp;"–"&amp;TEXT(ROUND(QUARTILE(S7:S10,1),1),"#.0")</f>
        <v>18.0–16.5</v>
      </c>
    </row>
    <row r="14" spans="1:31" x14ac:dyDescent="0.2">
      <c r="A14" s="22"/>
      <c r="B14" s="22"/>
      <c r="C14" s="22"/>
      <c r="D14" s="22"/>
      <c r="E14" s="14"/>
      <c r="F14" s="14"/>
      <c r="G14" s="23"/>
      <c r="H14" s="23"/>
      <c r="I14" s="14"/>
      <c r="J14" s="24"/>
      <c r="K14" s="24"/>
      <c r="L14" s="23"/>
      <c r="M14" s="25"/>
      <c r="N14" s="25"/>
      <c r="O14" s="13"/>
      <c r="P14" s="13"/>
      <c r="Q14" s="13"/>
      <c r="R14" s="13"/>
      <c r="S14" s="24"/>
      <c r="T14" s="40" t="s">
        <v>164</v>
      </c>
      <c r="U14" s="24"/>
      <c r="V14" s="24"/>
      <c r="W14" s="29">
        <f>COUNT(S7:S8,S10)</f>
        <v>3</v>
      </c>
      <c r="X14" s="34">
        <f>(SUM((S7/(U7^2)),(S8/(U8^2)),(S10/(U10^2))))/(SUM((1/U7^2),(1/U8^2),(1/U10^2)))</f>
        <v>18.06718235607012</v>
      </c>
      <c r="Y14" s="34">
        <f>SQRT(1/(SUM((1/U7^2),(1/U8^2),(1/U10^2))))</f>
        <v>0.81356719705413794</v>
      </c>
      <c r="Z14" s="34">
        <f>MAX(S7:S8,S10)-MIN(S7:S8,S10)</f>
        <v>1.3990000000000009</v>
      </c>
      <c r="AA14" s="34" t="str">
        <f>TEXT(ROUND(MAX(S7:S8,S10),1),"#.0")&amp;"–"&amp;TEXT(ROUND(MIN(S7:S8,S10),1),"#.0")</f>
        <v>18.8–17.4</v>
      </c>
      <c r="AB14" s="34">
        <f>MEDIAN(S7:S8,S10)</f>
        <v>17.748999999999999</v>
      </c>
      <c r="AC14" s="34">
        <f>QUARTILE((S7:S8,S10),3)-QUARTILE((S7:S8,S10),1)</f>
        <v>0.69950000000000045</v>
      </c>
      <c r="AD14" s="34" t="str">
        <f>TEXT(ROUND(QUARTILE((S7:S8,S10),3),1),"#.0")&amp;"–"&amp;TEXT(ROUND(QUARTILE((S7:S8,S10),1),1),"#.0")</f>
        <v>18.3–17.6</v>
      </c>
      <c r="AE14" s="72"/>
    </row>
    <row r="15" spans="1:31" x14ac:dyDescent="0.2">
      <c r="A15" s="22"/>
      <c r="B15" s="22"/>
      <c r="C15" s="22"/>
      <c r="D15" s="22"/>
      <c r="E15" s="14"/>
      <c r="F15" s="14"/>
      <c r="G15" s="23"/>
      <c r="H15" s="23"/>
      <c r="I15" s="14"/>
      <c r="J15" s="24"/>
      <c r="K15" s="24"/>
      <c r="L15" s="23"/>
      <c r="M15" s="25"/>
      <c r="N15" s="25"/>
      <c r="O15" s="13"/>
      <c r="P15" s="13"/>
      <c r="Q15" s="13"/>
      <c r="R15" s="13"/>
      <c r="S15" s="24"/>
      <c r="T15" s="40" t="s">
        <v>154</v>
      </c>
      <c r="U15" s="24"/>
      <c r="V15" s="24"/>
      <c r="W15" s="29">
        <f>COUNT(S11:S12)</f>
        <v>2</v>
      </c>
      <c r="X15" s="34">
        <f>(SUM((S11/(U11^2)),(S12/(U12^2))))/(SUM((1/U11^2),(1/U12^2)))</f>
        <v>16.535965797531098</v>
      </c>
      <c r="Y15" s="34">
        <f>SQRT(1/(SUM((1/U11^2),(1/U12^2))))</f>
        <v>0.79994486568363632</v>
      </c>
      <c r="Z15" s="34">
        <f>MAX(S11:S12)-MIN(S11:S12)</f>
        <v>1.1799999999999997</v>
      </c>
      <c r="AA15" s="34" t="str">
        <f>TEXT(ROUND(MAX(S11:S12),1),"#.0")&amp;"–"&amp;TEXT(ROUND(MIN(S11:S12),1),"#.0")</f>
        <v>17.1–16.0</v>
      </c>
      <c r="AB15" s="34">
        <f>MEDIAN(S11:S12)</f>
        <v>16.548999999999999</v>
      </c>
      <c r="AC15" s="34">
        <f>QUARTILE(S11:S12,3)-QUARTILE(S11:S12,1)</f>
        <v>0.59000000000000341</v>
      </c>
      <c r="AD15" s="34" t="str">
        <f>TEXT(ROUND(QUARTILE(S11:S12,3),1),"#.0")&amp;"–"&amp;TEXT(ROUND(QUARTILE(S11:S12,1),1),"#.0")</f>
        <v>16.8–16.3</v>
      </c>
    </row>
    <row r="16" spans="1:31" x14ac:dyDescent="0.2">
      <c r="A16" s="43"/>
      <c r="B16" s="43"/>
      <c r="C16" s="43"/>
      <c r="D16" s="43"/>
      <c r="E16" s="44"/>
      <c r="F16" s="44"/>
      <c r="G16" s="45"/>
      <c r="H16" s="45"/>
      <c r="I16" s="44"/>
      <c r="J16" s="46"/>
      <c r="K16" s="46"/>
      <c r="L16" s="45"/>
      <c r="M16" s="47"/>
      <c r="N16" s="47"/>
      <c r="O16" s="48"/>
      <c r="P16" s="48"/>
      <c r="Q16" s="48"/>
      <c r="R16" s="48"/>
      <c r="S16" s="46"/>
      <c r="T16" s="49" t="s">
        <v>158</v>
      </c>
      <c r="U16" s="50"/>
      <c r="V16" s="50"/>
      <c r="W16" s="51">
        <f>COUNT(S7:S12)</f>
        <v>6</v>
      </c>
      <c r="X16" s="37">
        <f>(SUM((S7/(U7^2)),(S8/(U8^2)),(S9/(U9^2)),(S10/(U10^2)),(S11/(U11^2)),(S12/(U12^2))))/(SUM((1/U7^2),(1/U8^2),(1/U9^2),(1/U10^2),(1/U11^2),(1/U12^2)))</f>
        <v>16.365293086207572</v>
      </c>
      <c r="Y16" s="37">
        <f>SQRT(1/(SUM((1/U7^2),(1/U8^2),(1/U9^2),(1/U10^2),(1/U11^2),(1/U12^2))))</f>
        <v>0.49335822819655262</v>
      </c>
      <c r="Z16" s="37">
        <f>MAX(S7:S12)-MIN(S7:S12)</f>
        <v>5.2150000000000016</v>
      </c>
      <c r="AA16" s="37" t="str">
        <f>TEXT(ROUND(MAX(S7:S12),1),"#.0")&amp;"–"&amp;TEXT(ROUND(MIN(S7:S12),1),"#.0")</f>
        <v>18.8–13.6</v>
      </c>
      <c r="AB16" s="37">
        <f>MEDIAN(S7:S12)</f>
        <v>17.289000000000001</v>
      </c>
      <c r="AC16" s="37">
        <f>QUARTILE(S7:S12,3)-QUARTILE(S7:S12,1)</f>
        <v>1.4175000000000004</v>
      </c>
      <c r="AD16" s="37" t="str">
        <f>TEXT(ROUND(QUARTILE(S7:S12,3),1),"#.0")&amp;"–"&amp;TEXT(ROUND(QUARTILE(S7:S12,1),1),"#.0")</f>
        <v>17.7–16.3</v>
      </c>
    </row>
    <row r="17" spans="1:31" x14ac:dyDescent="0.2">
      <c r="A17" s="52"/>
      <c r="B17" s="52"/>
      <c r="C17" s="52"/>
      <c r="D17" s="52"/>
      <c r="E17" s="53"/>
      <c r="F17" s="53"/>
      <c r="G17" s="54"/>
      <c r="H17" s="54"/>
      <c r="I17" s="53"/>
      <c r="J17" s="55"/>
      <c r="K17" s="55"/>
      <c r="L17" s="54"/>
      <c r="M17" s="56"/>
      <c r="N17" s="56"/>
      <c r="O17" s="57"/>
      <c r="P17" s="57"/>
      <c r="Q17" s="57"/>
      <c r="R17" s="57"/>
      <c r="S17" s="55"/>
      <c r="T17" s="58" t="s">
        <v>159</v>
      </c>
      <c r="U17" s="59"/>
      <c r="V17" s="59"/>
      <c r="W17" s="60">
        <f>COUNT(S7:S8,S10:S12)</f>
        <v>5</v>
      </c>
      <c r="X17" s="61">
        <f>(SUM((S7/(U7^2)),(S8/(U8^2)),(S10/(U10^2)),(S11/(U11^2)),(S12/(U12^2))))/(SUM((1/U7^2),(1/U8^2),(1/U10^2),(1/U11^2),(1/U12^2)))</f>
        <v>17.288647459659803</v>
      </c>
      <c r="Y17" s="61">
        <f>SQRT(1/(SUM((1/U7^2),(1/U8^2),(1/U10^2),(1/U11^2),(1/U12^2))))</f>
        <v>0.5704016705104209</v>
      </c>
      <c r="Z17" s="61">
        <f>MAX(S7:S8,S10:S12)-MIN(S7:S8,S10:S12)</f>
        <v>2.8790000000000013</v>
      </c>
      <c r="AA17" s="61" t="str">
        <f>TEXT(ROUND(MAX(S7:S8,S10:S12),1),"#.0")&amp;"–"&amp;TEXT(ROUND(MIN(S7:S8,S10:S12),1),"#.0")</f>
        <v>18.8–16.0</v>
      </c>
      <c r="AB17" s="61">
        <f>MEDIAN(S7:S8,S10:S12)</f>
        <v>17.439</v>
      </c>
      <c r="AC17" s="61">
        <f>QUARTILE((S7:S8,S10:S12),3)-QUARTILE((S7:S8,S10:S12),1)</f>
        <v>0.60999999999999943</v>
      </c>
      <c r="AD17" s="61" t="str">
        <f>TEXT(ROUND(QUARTILE((S7:S8,S10:S12),3),1),"#.0")&amp;"–"&amp;TEXT(ROUND(QUARTILE((S7:S8,S10:S12),1),1),"#.0")</f>
        <v>17.7–17.1</v>
      </c>
      <c r="AE17" s="72"/>
    </row>
    <row r="18" spans="1:31" x14ac:dyDescent="0.2">
      <c r="A18" s="7" t="s">
        <v>43</v>
      </c>
      <c r="B18" s="22" t="s">
        <v>142</v>
      </c>
      <c r="C18" s="7" t="s">
        <v>44</v>
      </c>
      <c r="D18" s="7" t="s">
        <v>41</v>
      </c>
      <c r="E18" s="8" t="s">
        <v>31</v>
      </c>
      <c r="F18" s="8" t="s">
        <v>32</v>
      </c>
      <c r="G18" s="9">
        <v>54.233201999999999</v>
      </c>
      <c r="H18" s="9">
        <v>-129.94723999999999</v>
      </c>
      <c r="I18" s="8">
        <v>1067</v>
      </c>
      <c r="J18" s="10">
        <v>4.0999999999999996</v>
      </c>
      <c r="K18" s="10">
        <v>2.7</v>
      </c>
      <c r="L18" s="9">
        <v>0.99992599999999998</v>
      </c>
      <c r="M18" s="11">
        <v>2.6669999999999998</v>
      </c>
      <c r="N18" s="11">
        <v>0.31230000000000002</v>
      </c>
      <c r="O18" s="48">
        <v>0.22599999999999998</v>
      </c>
      <c r="P18" s="48">
        <v>1.5499999999999998E-2</v>
      </c>
      <c r="Q18" s="13">
        <v>16.8</v>
      </c>
      <c r="R18" s="13">
        <v>1.24</v>
      </c>
      <c r="S18" s="10">
        <v>15.143000000000001</v>
      </c>
      <c r="T18" s="10">
        <v>1.1220000000000001</v>
      </c>
      <c r="U18" s="10">
        <v>1.4359999999999999</v>
      </c>
      <c r="V18" s="34" t="s">
        <v>161</v>
      </c>
      <c r="W18" s="29"/>
      <c r="X18" s="34"/>
      <c r="Y18" s="34"/>
      <c r="Z18" s="35"/>
      <c r="AA18" s="35"/>
      <c r="AB18" s="35"/>
      <c r="AC18" s="35"/>
      <c r="AD18" s="35"/>
    </row>
    <row r="19" spans="1:31" x14ac:dyDescent="0.2">
      <c r="A19" s="4"/>
      <c r="B19" s="4"/>
      <c r="C19" s="4"/>
      <c r="D19" s="4"/>
      <c r="E19" s="5"/>
      <c r="F19" s="5"/>
      <c r="G19" s="15"/>
      <c r="H19" s="15"/>
      <c r="I19" s="5"/>
      <c r="J19" s="16"/>
      <c r="K19" s="16"/>
      <c r="L19" s="15"/>
      <c r="M19" s="17"/>
      <c r="N19" s="17"/>
      <c r="O19" s="12"/>
      <c r="P19" s="12"/>
      <c r="Q19" s="18"/>
      <c r="R19" s="18"/>
      <c r="S19" s="16"/>
      <c r="T19" s="16"/>
      <c r="U19" s="16"/>
      <c r="V19" s="16"/>
      <c r="W19" s="30">
        <f>COUNT(S18)</f>
        <v>1</v>
      </c>
      <c r="X19" s="36"/>
      <c r="Y19" s="36"/>
      <c r="Z19" s="33"/>
      <c r="AA19" s="33"/>
      <c r="AB19" s="33"/>
      <c r="AC19" s="33"/>
      <c r="AD19" s="33"/>
    </row>
    <row r="20" spans="1:31" x14ac:dyDescent="0.2">
      <c r="A20" s="7" t="s">
        <v>45</v>
      </c>
      <c r="B20" s="22" t="s">
        <v>142</v>
      </c>
      <c r="C20" s="7" t="s">
        <v>46</v>
      </c>
      <c r="D20" s="7" t="s">
        <v>30</v>
      </c>
      <c r="E20" s="8" t="s">
        <v>31</v>
      </c>
      <c r="F20" s="8" t="s">
        <v>32</v>
      </c>
      <c r="G20" s="9">
        <v>53.972853000000001</v>
      </c>
      <c r="H20" s="9">
        <v>-130.59928500000001</v>
      </c>
      <c r="I20" s="8">
        <v>271</v>
      </c>
      <c r="J20" s="10">
        <v>2.5</v>
      </c>
      <c r="K20" s="10">
        <v>2.7</v>
      </c>
      <c r="L20" s="9">
        <v>0.99996300000000005</v>
      </c>
      <c r="M20" s="11">
        <v>15.523300000000001</v>
      </c>
      <c r="N20" s="11">
        <v>0.30880000000000002</v>
      </c>
      <c r="O20" s="19">
        <v>0.58799999999999997</v>
      </c>
      <c r="P20" s="19">
        <v>2.6800000000000001E-2</v>
      </c>
      <c r="Q20" s="13">
        <v>7.19</v>
      </c>
      <c r="R20" s="13">
        <v>0.35</v>
      </c>
      <c r="S20" s="10">
        <v>13.117000000000001</v>
      </c>
      <c r="T20" s="10">
        <v>0.65</v>
      </c>
      <c r="U20" s="10">
        <v>1.012</v>
      </c>
      <c r="V20" s="24" t="s">
        <v>161</v>
      </c>
      <c r="W20" s="29"/>
      <c r="X20" s="34"/>
      <c r="Y20" s="34"/>
      <c r="Z20" s="35"/>
      <c r="AA20" s="35"/>
      <c r="AB20" s="35"/>
      <c r="AC20" s="35"/>
      <c r="AD20" s="35"/>
    </row>
    <row r="21" spans="1:31" x14ac:dyDescent="0.2">
      <c r="A21" s="7" t="s">
        <v>47</v>
      </c>
      <c r="B21" s="22" t="s">
        <v>142</v>
      </c>
      <c r="C21" s="7" t="s">
        <v>46</v>
      </c>
      <c r="D21" s="7" t="s">
        <v>30</v>
      </c>
      <c r="E21" s="8" t="s">
        <v>31</v>
      </c>
      <c r="F21" s="8" t="s">
        <v>32</v>
      </c>
      <c r="G21" s="9">
        <v>53.973041000000002</v>
      </c>
      <c r="H21" s="9">
        <v>-130.59916000000001</v>
      </c>
      <c r="I21" s="8">
        <v>274</v>
      </c>
      <c r="J21" s="10">
        <v>2.2000000000000002</v>
      </c>
      <c r="K21" s="10">
        <v>2.7</v>
      </c>
      <c r="L21" s="9">
        <v>0.99935399999999996</v>
      </c>
      <c r="M21" s="11">
        <v>15.4267</v>
      </c>
      <c r="N21" s="11">
        <v>0.30869999999999997</v>
      </c>
      <c r="O21" s="12">
        <v>0.63800000000000001</v>
      </c>
      <c r="P21" s="12">
        <v>2.4399999999999998E-2</v>
      </c>
      <c r="Q21" s="13">
        <v>7.99</v>
      </c>
      <c r="R21" s="13">
        <v>0.47</v>
      </c>
      <c r="S21" s="10">
        <v>14.51</v>
      </c>
      <c r="T21" s="10">
        <v>0.86399999999999999</v>
      </c>
      <c r="U21" s="10">
        <v>1.2190000000000001</v>
      </c>
      <c r="V21" s="24" t="s">
        <v>161</v>
      </c>
      <c r="W21" s="29"/>
      <c r="X21" s="34"/>
      <c r="Y21" s="34"/>
      <c r="Z21" s="35"/>
      <c r="AA21" s="35"/>
      <c r="AB21" s="35"/>
      <c r="AC21" s="35"/>
      <c r="AD21" s="35"/>
    </row>
    <row r="22" spans="1:31" x14ac:dyDescent="0.2">
      <c r="A22" s="7" t="s">
        <v>48</v>
      </c>
      <c r="B22" s="22" t="s">
        <v>142</v>
      </c>
      <c r="C22" s="7" t="s">
        <v>46</v>
      </c>
      <c r="D22" s="7" t="s">
        <v>30</v>
      </c>
      <c r="E22" s="8" t="s">
        <v>31</v>
      </c>
      <c r="F22" s="8" t="s">
        <v>32</v>
      </c>
      <c r="G22" s="9">
        <v>53.973591999999996</v>
      </c>
      <c r="H22" s="9">
        <v>-130.59918999999999</v>
      </c>
      <c r="I22" s="8">
        <v>278</v>
      </c>
      <c r="J22" s="10">
        <v>2.6</v>
      </c>
      <c r="K22" s="10">
        <v>2.7</v>
      </c>
      <c r="L22" s="9">
        <v>0.999942</v>
      </c>
      <c r="M22" s="11">
        <v>15.2394</v>
      </c>
      <c r="N22" s="11">
        <v>0.34820000000000001</v>
      </c>
      <c r="O22" s="12">
        <v>0.71799999999999997</v>
      </c>
      <c r="P22" s="12">
        <v>2.8799999999999999E-2</v>
      </c>
      <c r="Q22" s="13">
        <v>10.4</v>
      </c>
      <c r="R22" s="13">
        <v>0.48</v>
      </c>
      <c r="S22" s="10">
        <v>18.780999999999999</v>
      </c>
      <c r="T22" s="10">
        <v>0.871</v>
      </c>
      <c r="U22" s="10">
        <v>1.413</v>
      </c>
      <c r="V22" s="24" t="s">
        <v>162</v>
      </c>
      <c r="W22" s="29"/>
      <c r="X22" s="34"/>
      <c r="Y22" s="34"/>
      <c r="Z22" s="35"/>
      <c r="AA22" s="35"/>
      <c r="AB22" s="35"/>
      <c r="AC22" s="35"/>
      <c r="AD22" s="35"/>
    </row>
    <row r="23" spans="1:31" x14ac:dyDescent="0.2">
      <c r="A23" s="7" t="s">
        <v>49</v>
      </c>
      <c r="B23" s="22" t="s">
        <v>142</v>
      </c>
      <c r="C23" s="7" t="s">
        <v>46</v>
      </c>
      <c r="D23" s="7" t="s">
        <v>30</v>
      </c>
      <c r="E23" s="8" t="s">
        <v>31</v>
      </c>
      <c r="F23" s="8" t="s">
        <v>32</v>
      </c>
      <c r="G23" s="9">
        <v>53.972929999999998</v>
      </c>
      <c r="H23" s="9">
        <v>-130.60004000000001</v>
      </c>
      <c r="I23" s="8">
        <v>269</v>
      </c>
      <c r="J23" s="10">
        <v>3.1</v>
      </c>
      <c r="K23" s="10">
        <v>2.7</v>
      </c>
      <c r="L23" s="9">
        <v>0.99753899999999995</v>
      </c>
      <c r="M23" s="11">
        <v>15.1402</v>
      </c>
      <c r="N23" s="11">
        <v>0.26900000000000002</v>
      </c>
      <c r="O23" s="12">
        <v>0.58399999999999996</v>
      </c>
      <c r="P23" s="12">
        <v>1.95E-2</v>
      </c>
      <c r="Q23" s="13">
        <v>6.49</v>
      </c>
      <c r="R23" s="13">
        <v>0.3</v>
      </c>
      <c r="S23" s="10">
        <v>11.821</v>
      </c>
      <c r="T23" s="10">
        <v>0.54</v>
      </c>
      <c r="U23" s="10">
        <v>0.88400000000000001</v>
      </c>
      <c r="V23" s="24" t="s">
        <v>161</v>
      </c>
      <c r="W23" s="29"/>
      <c r="X23" s="34"/>
      <c r="Y23" s="34"/>
      <c r="Z23" s="35"/>
      <c r="AA23" s="35"/>
      <c r="AB23" s="35"/>
      <c r="AC23" s="35"/>
      <c r="AD23" s="35"/>
    </row>
    <row r="24" spans="1:31" x14ac:dyDescent="0.2">
      <c r="A24" s="43"/>
      <c r="B24" s="43"/>
      <c r="C24" s="43"/>
      <c r="D24" s="43"/>
      <c r="E24" s="44"/>
      <c r="F24" s="44"/>
      <c r="G24" s="45"/>
      <c r="H24" s="45"/>
      <c r="I24" s="44"/>
      <c r="J24" s="46"/>
      <c r="K24" s="46"/>
      <c r="L24" s="45"/>
      <c r="M24" s="47"/>
      <c r="N24" s="47"/>
      <c r="O24" s="12"/>
      <c r="P24" s="12"/>
      <c r="Q24" s="48"/>
      <c r="R24" s="48"/>
      <c r="S24" s="46"/>
      <c r="T24" s="50" t="s">
        <v>88</v>
      </c>
      <c r="U24" s="50"/>
      <c r="V24" s="50"/>
      <c r="W24" s="51">
        <f>COUNT(S20:S23)</f>
        <v>4</v>
      </c>
      <c r="X24" s="37">
        <f>(SUM((S20/(U20^2)),(S21/(U21^2)),(S22/(U22^2)),(S23/(U23^2))))/(SUM((1/U20^2),(1/U21^2),(1/U22^2),(1/U23^2)))</f>
        <v>13.733885892662434</v>
      </c>
      <c r="Y24" s="37">
        <f>SQRT(1/(SUM((1/U20^2),(1/U21^2),(1/U22^2),(1/U23^2))))</f>
        <v>0.53995616077921593</v>
      </c>
      <c r="Z24" s="37">
        <f>MAX(S20:S23)-MIN(S20:S23)</f>
        <v>6.9599999999999991</v>
      </c>
      <c r="AA24" s="37" t="str">
        <f>TEXT(ROUND(MAX(S20:S23),1),"#.0")&amp;"–"&amp;TEXT(ROUND(MIN(S20:S23),1),"#.0")</f>
        <v>18.8–11.8</v>
      </c>
      <c r="AB24" s="37">
        <f>MEDIAN(S20:S23)</f>
        <v>13.813500000000001</v>
      </c>
      <c r="AC24" s="37">
        <f>QUARTILE(S20:S23,3)-QUARTILE(S20:S23,1)</f>
        <v>2.7847499999999989</v>
      </c>
      <c r="AD24" s="37" t="str">
        <f>TEXT(ROUND(QUARTILE(S20:S23,3),1),"#.0")&amp;"–"&amp;TEXT(ROUND(QUARTILE(S20:S23,1),1),"#.0")</f>
        <v>15.6–12.8</v>
      </c>
    </row>
    <row r="25" spans="1:31" x14ac:dyDescent="0.2">
      <c r="A25" s="52"/>
      <c r="B25" s="52"/>
      <c r="C25" s="52"/>
      <c r="D25" s="52"/>
      <c r="E25" s="53"/>
      <c r="F25" s="53"/>
      <c r="G25" s="54"/>
      <c r="H25" s="54"/>
      <c r="I25" s="53"/>
      <c r="J25" s="55"/>
      <c r="K25" s="55"/>
      <c r="L25" s="54"/>
      <c r="M25" s="56"/>
      <c r="N25" s="56"/>
      <c r="O25" s="57"/>
      <c r="P25" s="57"/>
      <c r="Q25" s="57"/>
      <c r="R25" s="57"/>
      <c r="S25" s="55"/>
      <c r="T25" s="59" t="s">
        <v>157</v>
      </c>
      <c r="U25" s="59"/>
      <c r="V25" s="59"/>
      <c r="W25" s="60">
        <f>COUNT(S20:S21,S23)</f>
        <v>3</v>
      </c>
      <c r="X25" s="61">
        <f>(SUM((S20/(U20^2)),(S21/(U21^2)),(S23/(U23^2))))/(SUM((1/U20^2),(1/U21^2),(1/U23^2)))</f>
        <v>12.870844593540937</v>
      </c>
      <c r="Y25" s="61">
        <f>SQRT(1/(SUM((1/U20^2),(1/U21^2),(1/U23^2))))</f>
        <v>0.58430067675294139</v>
      </c>
      <c r="Z25" s="61">
        <f>MAX(S20:S21,S23)-MIN(S20:S21,S23)</f>
        <v>2.6890000000000001</v>
      </c>
      <c r="AA25" s="61" t="str">
        <f>TEXT(ROUND(MAX(S20:S21,S23),1),"#.0")&amp;"–"&amp;TEXT(ROUND(MIN(S20:S21,S23),1),"#.0")</f>
        <v>14.5–11.8</v>
      </c>
      <c r="AB25" s="61">
        <f>MEDIAN(S20:S21,S23)</f>
        <v>13.117000000000001</v>
      </c>
      <c r="AC25" s="61">
        <f>QUARTILE((S20:S21,S23),3)-QUARTILE((S20:S21,S23),1)</f>
        <v>1.3445</v>
      </c>
      <c r="AD25" s="61" t="str">
        <f>TEXT(ROUND(QUARTILE((S20:S21,S23),3),1),"#.0")&amp;"–"&amp;TEXT(ROUND(QUARTILE((S20:S21,S23),1),1),"#.0")</f>
        <v>13.8–12.5</v>
      </c>
      <c r="AE25" s="72"/>
    </row>
    <row r="26" spans="1:31" x14ac:dyDescent="0.2">
      <c r="A26" s="7" t="s">
        <v>50</v>
      </c>
      <c r="B26" s="22" t="s">
        <v>142</v>
      </c>
      <c r="C26" s="7" t="s">
        <v>51</v>
      </c>
      <c r="D26" s="7" t="s">
        <v>30</v>
      </c>
      <c r="E26" s="8" t="s">
        <v>31</v>
      </c>
      <c r="F26" s="8" t="s">
        <v>32</v>
      </c>
      <c r="G26" s="9">
        <v>53.733311</v>
      </c>
      <c r="H26" s="9">
        <v>-130.157903</v>
      </c>
      <c r="I26" s="8">
        <v>880</v>
      </c>
      <c r="J26" s="10">
        <v>2.8</v>
      </c>
      <c r="K26" s="10">
        <v>2.7</v>
      </c>
      <c r="L26" s="9">
        <v>0.99759200000000003</v>
      </c>
      <c r="M26" s="11">
        <v>15.196300000000001</v>
      </c>
      <c r="N26" s="11">
        <v>0.30890000000000001</v>
      </c>
      <c r="O26" s="48">
        <v>1</v>
      </c>
      <c r="P26" s="48">
        <v>4.9399999999999999E-2</v>
      </c>
      <c r="Q26" s="13">
        <v>12.9</v>
      </c>
      <c r="R26" s="13">
        <v>0.79</v>
      </c>
      <c r="S26" s="10">
        <v>13.635999999999999</v>
      </c>
      <c r="T26" s="10">
        <v>0.83599999999999997</v>
      </c>
      <c r="U26" s="10">
        <v>1.1619999999999999</v>
      </c>
      <c r="V26" s="34" t="s">
        <v>161</v>
      </c>
      <c r="W26" s="29"/>
      <c r="X26" s="34"/>
      <c r="Y26" s="34"/>
      <c r="Z26" s="35"/>
      <c r="AA26" s="35"/>
      <c r="AB26" s="35"/>
      <c r="AC26" s="35"/>
      <c r="AD26" s="35"/>
    </row>
    <row r="27" spans="1:31" x14ac:dyDescent="0.2">
      <c r="A27" s="62" t="s">
        <v>52</v>
      </c>
      <c r="B27" s="62" t="s">
        <v>142</v>
      </c>
      <c r="C27" s="62" t="s">
        <v>51</v>
      </c>
      <c r="D27" s="62" t="s">
        <v>41</v>
      </c>
      <c r="E27" s="63" t="s">
        <v>31</v>
      </c>
      <c r="F27" s="63" t="s">
        <v>32</v>
      </c>
      <c r="G27" s="64">
        <v>53.733150000000002</v>
      </c>
      <c r="H27" s="64">
        <v>-130.15766199999999</v>
      </c>
      <c r="I27" s="63">
        <v>884</v>
      </c>
      <c r="J27" s="65">
        <v>2.6</v>
      </c>
      <c r="K27" s="65">
        <v>2.7</v>
      </c>
      <c r="L27" s="64">
        <v>1</v>
      </c>
      <c r="M27" s="66">
        <v>14.4437</v>
      </c>
      <c r="N27" s="66">
        <v>0.30909999999999999</v>
      </c>
      <c r="O27" s="67">
        <v>1.02</v>
      </c>
      <c r="P27" s="67">
        <v>3.2399999999999998E-2</v>
      </c>
      <c r="Q27" s="67">
        <v>14.4</v>
      </c>
      <c r="R27" s="67">
        <v>0.48</v>
      </c>
      <c r="S27" s="65">
        <v>15.092000000000001</v>
      </c>
      <c r="T27" s="65">
        <v>0.501</v>
      </c>
      <c r="U27" s="65">
        <v>1.0249999999999999</v>
      </c>
      <c r="V27" s="69" t="s">
        <v>161</v>
      </c>
      <c r="W27" s="68"/>
      <c r="X27" s="69"/>
      <c r="Y27" s="69"/>
      <c r="Z27" s="69"/>
      <c r="AA27" s="69"/>
      <c r="AB27" s="69"/>
      <c r="AC27" s="69"/>
      <c r="AD27" s="69"/>
    </row>
    <row r="28" spans="1:31" x14ac:dyDescent="0.2">
      <c r="A28" s="7" t="s">
        <v>53</v>
      </c>
      <c r="B28" s="22" t="s">
        <v>142</v>
      </c>
      <c r="C28" s="7" t="s">
        <v>51</v>
      </c>
      <c r="D28" s="7" t="s">
        <v>30</v>
      </c>
      <c r="E28" s="8" t="s">
        <v>31</v>
      </c>
      <c r="F28" s="8" t="s">
        <v>32</v>
      </c>
      <c r="G28" s="9">
        <v>53.729070999999998</v>
      </c>
      <c r="H28" s="9">
        <v>-130.193207</v>
      </c>
      <c r="I28" s="8">
        <v>342</v>
      </c>
      <c r="J28" s="10">
        <v>1.9</v>
      </c>
      <c r="K28" s="10">
        <v>2.7</v>
      </c>
      <c r="L28" s="9">
        <v>0.99494899999999997</v>
      </c>
      <c r="M28" s="11">
        <v>15.299799999999999</v>
      </c>
      <c r="N28" s="11">
        <v>0.30559999999999998</v>
      </c>
      <c r="O28" s="12">
        <v>0.63900000000000001</v>
      </c>
      <c r="P28" s="12">
        <v>1.95E-2</v>
      </c>
      <c r="Q28" s="13">
        <v>8.3000000000000007</v>
      </c>
      <c r="R28" s="13">
        <v>0.41</v>
      </c>
      <c r="S28" s="10">
        <v>14.225</v>
      </c>
      <c r="T28" s="10">
        <v>0.70899999999999996</v>
      </c>
      <c r="U28" s="10">
        <v>1.101</v>
      </c>
      <c r="V28" s="34" t="s">
        <v>161</v>
      </c>
      <c r="W28" s="29"/>
      <c r="X28" s="34"/>
      <c r="Y28" s="34"/>
      <c r="Z28" s="35"/>
      <c r="AA28" s="35"/>
      <c r="AB28" s="35"/>
      <c r="AC28" s="35"/>
      <c r="AD28" s="35"/>
    </row>
    <row r="29" spans="1:31" x14ac:dyDescent="0.2">
      <c r="A29" s="7" t="s">
        <v>54</v>
      </c>
      <c r="B29" s="22" t="s">
        <v>142</v>
      </c>
      <c r="C29" s="7" t="s">
        <v>51</v>
      </c>
      <c r="D29" s="7" t="s">
        <v>30</v>
      </c>
      <c r="E29" s="8" t="s">
        <v>31</v>
      </c>
      <c r="F29" s="8" t="s">
        <v>32</v>
      </c>
      <c r="G29" s="9">
        <v>53.72916</v>
      </c>
      <c r="H29" s="9">
        <v>-130.19353699999999</v>
      </c>
      <c r="I29" s="8">
        <v>333</v>
      </c>
      <c r="J29" s="10">
        <v>3.3</v>
      </c>
      <c r="K29" s="10">
        <v>2.7</v>
      </c>
      <c r="L29" s="9">
        <v>0.99720299999999995</v>
      </c>
      <c r="M29" s="11">
        <v>15.9224</v>
      </c>
      <c r="N29" s="11">
        <v>0.308</v>
      </c>
      <c r="O29" s="12">
        <v>0.59099999999999997</v>
      </c>
      <c r="P29" s="12">
        <v>4.7899999999999998E-2</v>
      </c>
      <c r="Q29" s="13">
        <v>7.28</v>
      </c>
      <c r="R29" s="13">
        <v>0.6</v>
      </c>
      <c r="S29" s="10">
        <v>12.667</v>
      </c>
      <c r="T29" s="10">
        <v>1.0549999999999999</v>
      </c>
      <c r="U29" s="10">
        <v>1.294</v>
      </c>
      <c r="V29" s="34" t="s">
        <v>161</v>
      </c>
      <c r="W29" s="29"/>
      <c r="X29" s="34"/>
      <c r="Y29" s="34"/>
      <c r="Z29" s="34"/>
      <c r="AA29" s="34"/>
      <c r="AB29" s="34"/>
      <c r="AC29" s="34"/>
      <c r="AD29" s="34"/>
    </row>
    <row r="30" spans="1:31" x14ac:dyDescent="0.2">
      <c r="A30" s="62" t="s">
        <v>55</v>
      </c>
      <c r="B30" s="62" t="s">
        <v>142</v>
      </c>
      <c r="C30" s="62" t="s">
        <v>51</v>
      </c>
      <c r="D30" s="62" t="s">
        <v>41</v>
      </c>
      <c r="E30" s="63" t="s">
        <v>31</v>
      </c>
      <c r="F30" s="63" t="s">
        <v>32</v>
      </c>
      <c r="G30" s="64">
        <v>53.728900000000003</v>
      </c>
      <c r="H30" s="64">
        <v>-130.193455</v>
      </c>
      <c r="I30" s="63">
        <v>333</v>
      </c>
      <c r="J30" s="65">
        <v>2.8</v>
      </c>
      <c r="K30" s="65">
        <v>2.7</v>
      </c>
      <c r="L30" s="64">
        <v>0.99741800000000003</v>
      </c>
      <c r="M30" s="66">
        <v>15.8042</v>
      </c>
      <c r="N30" s="66">
        <v>0.31230000000000002</v>
      </c>
      <c r="O30" s="67">
        <v>0.83199999999999996</v>
      </c>
      <c r="P30" s="67">
        <v>3.8199999999999998E-2</v>
      </c>
      <c r="Q30" s="67">
        <v>10.8</v>
      </c>
      <c r="R30" s="67">
        <v>0.5</v>
      </c>
      <c r="S30" s="65">
        <v>18.666</v>
      </c>
      <c r="T30" s="65">
        <v>0.875</v>
      </c>
      <c r="U30" s="65">
        <v>1.411</v>
      </c>
      <c r="V30" s="69" t="s">
        <v>162</v>
      </c>
      <c r="W30" s="68"/>
      <c r="X30" s="69"/>
      <c r="Y30" s="69"/>
      <c r="Z30" s="70"/>
      <c r="AA30" s="70"/>
      <c r="AB30" s="70"/>
      <c r="AC30" s="70"/>
      <c r="AD30" s="70"/>
    </row>
    <row r="31" spans="1:31" x14ac:dyDescent="0.2">
      <c r="A31" s="7" t="s">
        <v>56</v>
      </c>
      <c r="B31" s="22" t="s">
        <v>142</v>
      </c>
      <c r="C31" s="7" t="s">
        <v>51</v>
      </c>
      <c r="D31" s="7" t="s">
        <v>41</v>
      </c>
      <c r="E31" s="8" t="s">
        <v>31</v>
      </c>
      <c r="F31" s="8" t="s">
        <v>32</v>
      </c>
      <c r="G31" s="9">
        <v>53.744380999999997</v>
      </c>
      <c r="H31" s="9">
        <v>-130.176131</v>
      </c>
      <c r="I31" s="8">
        <v>589</v>
      </c>
      <c r="J31" s="10">
        <v>2.1</v>
      </c>
      <c r="K31" s="10">
        <v>2.7</v>
      </c>
      <c r="L31" s="9">
        <v>0.99938800000000005</v>
      </c>
      <c r="M31" s="11">
        <v>7.2601000000000004</v>
      </c>
      <c r="N31" s="11">
        <v>0.313</v>
      </c>
      <c r="O31" s="12">
        <v>0.46899999999999997</v>
      </c>
      <c r="P31" s="12">
        <v>5.7099999999999998E-2</v>
      </c>
      <c r="Q31" s="13">
        <v>13.2</v>
      </c>
      <c r="R31" s="13">
        <v>1.6</v>
      </c>
      <c r="S31" s="10">
        <v>17.893999999999998</v>
      </c>
      <c r="T31" s="10">
        <v>2.1789999999999998</v>
      </c>
      <c r="U31" s="10">
        <v>2.423</v>
      </c>
      <c r="V31" s="34" t="s">
        <v>161</v>
      </c>
      <c r="W31" s="29"/>
      <c r="X31" s="34"/>
      <c r="Y31" s="34"/>
      <c r="Z31" s="35"/>
      <c r="AA31" s="35"/>
      <c r="AB31" s="35"/>
      <c r="AC31" s="35"/>
      <c r="AD31" s="35"/>
    </row>
    <row r="32" spans="1:31" x14ac:dyDescent="0.2">
      <c r="A32" s="22"/>
      <c r="B32" s="22"/>
      <c r="C32" s="22"/>
      <c r="D32" s="22"/>
      <c r="E32" s="14"/>
      <c r="F32" s="14"/>
      <c r="G32" s="23"/>
      <c r="H32" s="23"/>
      <c r="I32" s="14"/>
      <c r="J32" s="24"/>
      <c r="K32" s="24"/>
      <c r="L32" s="23"/>
      <c r="M32" s="25"/>
      <c r="N32" s="25"/>
      <c r="O32" s="13"/>
      <c r="P32" s="13"/>
      <c r="Q32" s="13"/>
      <c r="R32" s="13"/>
      <c r="S32" s="24"/>
      <c r="T32" s="40" t="s">
        <v>166</v>
      </c>
      <c r="U32" s="24"/>
      <c r="V32" s="24"/>
      <c r="W32" s="29">
        <f>COUNT(S28:S30)</f>
        <v>3</v>
      </c>
      <c r="X32" s="34">
        <f>(SUM((S28/(U28^2)),(S29/(U29^2)),(S30/(U30^2))))/(SUM((1/U28^2),(1/U29^2),(1/U30^2)))</f>
        <v>14.900605445509367</v>
      </c>
      <c r="Y32" s="34">
        <f>SQRT(1/(SUM((1/U28^2),(1/U29^2),(1/U30^2))))</f>
        <v>0.72085448922527928</v>
      </c>
      <c r="Z32" s="34">
        <f>MAX(S28:S30)-MIN(S28:S30)</f>
        <v>5.9990000000000006</v>
      </c>
      <c r="AA32" s="34" t="str">
        <f>TEXT(ROUND(MAX(S28:S30),1),"#.0")&amp;"–"&amp;TEXT(ROUND(MIN(S28:S30),1),"#.0")</f>
        <v>18.7–12.7</v>
      </c>
      <c r="AB32" s="34">
        <f>MEDIAN(S28:S30)</f>
        <v>14.225</v>
      </c>
      <c r="AC32" s="34">
        <f>QUARTILE(S28:S30,3)-QUARTILE(S28:S30,1)</f>
        <v>2.9994999999999994</v>
      </c>
      <c r="AD32" s="34" t="str">
        <f>TEXT(ROUND(QUARTILE(S28:S30,3),1),"#.0")&amp;"–"&amp;TEXT(ROUND(QUARTILE(S28:S30,1),1),"#.0")</f>
        <v>16.4–13.4</v>
      </c>
    </row>
    <row r="33" spans="1:31" x14ac:dyDescent="0.2">
      <c r="A33" s="22"/>
      <c r="B33" s="22"/>
      <c r="C33" s="22"/>
      <c r="D33" s="22"/>
      <c r="E33" s="14"/>
      <c r="F33" s="14"/>
      <c r="G33" s="23"/>
      <c r="H33" s="23"/>
      <c r="I33" s="14"/>
      <c r="J33" s="24"/>
      <c r="K33" s="24"/>
      <c r="L33" s="23"/>
      <c r="M33" s="25"/>
      <c r="N33" s="25"/>
      <c r="O33" s="13"/>
      <c r="P33" s="13"/>
      <c r="Q33" s="13"/>
      <c r="R33" s="13"/>
      <c r="S33" s="24"/>
      <c r="T33" s="40" t="s">
        <v>167</v>
      </c>
      <c r="U33" s="24"/>
      <c r="V33" s="24"/>
      <c r="W33" s="29">
        <f>COUNT(S28:S29)</f>
        <v>2</v>
      </c>
      <c r="X33" s="34">
        <f>(SUM((S28/(U28^2)),(S29/(U29^2))))/(SUM((1/U28^2),(1/U29^2)))</f>
        <v>13.570740680937714</v>
      </c>
      <c r="Y33" s="34">
        <f>SQRT(1/(SUM((1/U28^2),(1/U29^2))))</f>
        <v>0.83854332908051255</v>
      </c>
      <c r="Z33" s="34">
        <f>MAX(S28:S29)-MIN(S28:S29)</f>
        <v>1.5579999999999998</v>
      </c>
      <c r="AA33" s="34" t="str">
        <f>TEXT(ROUND(MAX(S28:S29),1),"#.0")&amp;"–"&amp;TEXT(ROUND(MIN(S28:S29),1),"#.0")</f>
        <v>14.2–12.7</v>
      </c>
      <c r="AB33" s="34">
        <f>MEDIAN(S28:S29)</f>
        <v>13.446</v>
      </c>
      <c r="AC33" s="34">
        <f>QUARTILE(S28:S29,3)-QUARTILE(S28:S29,1)</f>
        <v>0.77899999999999991</v>
      </c>
      <c r="AD33" s="34" t="str">
        <f>TEXT(ROUND(QUARTILE(S28:S29,3),1),"#.0")&amp;"–"&amp;TEXT(ROUND(QUARTILE(S28:S29,1),1),"#.0")</f>
        <v>13.8–13.1</v>
      </c>
      <c r="AE33" s="72"/>
    </row>
    <row r="34" spans="1:31" x14ac:dyDescent="0.2">
      <c r="A34" s="22"/>
      <c r="B34" s="22"/>
      <c r="C34" s="22"/>
      <c r="D34" s="22"/>
      <c r="E34" s="14"/>
      <c r="F34" s="14"/>
      <c r="G34" s="23"/>
      <c r="H34" s="23"/>
      <c r="I34" s="14"/>
      <c r="J34" s="24"/>
      <c r="K34" s="24"/>
      <c r="L34" s="23"/>
      <c r="M34" s="25"/>
      <c r="N34" s="25"/>
      <c r="O34" s="13"/>
      <c r="P34" s="13"/>
      <c r="Q34" s="13"/>
      <c r="R34" s="13"/>
      <c r="S34" s="24"/>
      <c r="T34" s="40" t="s">
        <v>155</v>
      </c>
      <c r="U34" s="24"/>
      <c r="V34" s="24"/>
      <c r="W34" s="29">
        <f>COUNT(S26:S27)</f>
        <v>2</v>
      </c>
      <c r="X34" s="34">
        <f>(SUM((S26/(U26^2)),(S27/(U27^2))))/(SUM((1/U26^2),(1/U27^2)))</f>
        <v>14.454851534173669</v>
      </c>
      <c r="Y34" s="34">
        <f>SQRT(1/(SUM((1/U26^2),(1/U27^2))))</f>
        <v>0.76868031851227892</v>
      </c>
      <c r="Z34" s="34">
        <f>MAX(S26:S27)-MIN(S26:S27)</f>
        <v>1.4560000000000013</v>
      </c>
      <c r="AA34" s="34" t="str">
        <f>TEXT(ROUND(MAX(S26:S27),1),"#.0")&amp;"–"&amp;TEXT(ROUND(MIN(S26:S27),1),"#.0")</f>
        <v>15.1–13.6</v>
      </c>
      <c r="AB34" s="34">
        <f>MEDIAN(S26:S27)</f>
        <v>14.364000000000001</v>
      </c>
      <c r="AC34" s="34">
        <f>QUARTILE(S26:S27,3)-QUARTILE(S26:S27,1)</f>
        <v>0.72799999999999976</v>
      </c>
      <c r="AD34" s="34" t="str">
        <f>TEXT(ROUND(QUARTILE(S26:S27,3),1),"#.0")&amp;"–"&amp;TEXT(ROUND(QUARTILE(S26:S27,1),1),"#.0")</f>
        <v>14.7–14.0</v>
      </c>
    </row>
    <row r="35" spans="1:31" x14ac:dyDescent="0.2">
      <c r="A35" s="43"/>
      <c r="B35" s="43"/>
      <c r="C35" s="43"/>
      <c r="D35" s="43"/>
      <c r="E35" s="44"/>
      <c r="F35" s="44"/>
      <c r="G35" s="45"/>
      <c r="H35" s="45"/>
      <c r="I35" s="44"/>
      <c r="J35" s="46"/>
      <c r="K35" s="46"/>
      <c r="L35" s="45"/>
      <c r="M35" s="47"/>
      <c r="N35" s="47"/>
      <c r="O35" s="48"/>
      <c r="P35" s="48"/>
      <c r="Q35" s="48"/>
      <c r="R35" s="48"/>
      <c r="S35" s="46"/>
      <c r="T35" s="49" t="s">
        <v>158</v>
      </c>
      <c r="U35" s="50"/>
      <c r="V35" s="50"/>
      <c r="W35" s="51">
        <f>COUNT(S26:S31)</f>
        <v>6</v>
      </c>
      <c r="X35" s="37">
        <f>(SUM((S26/(U26^2)),(S27/(U27^2)),(S28/(U28^2)),(S29/(U29^2)),(S30/(U30^2)),(S31/(U31^2))))/(SUM((1/U26^2),(1/U27^2),(1/U28^2),(1/U29^2),(1/U30^2),(1/U31^2)))</f>
        <v>14.836036231545021</v>
      </c>
      <c r="Y35" s="37">
        <f>SQRT(1/(SUM((1/U26^2),(1/U27^2),(1/U28^2),(1/U29^2),(1/U30^2),(1/U31^2))))</f>
        <v>0.51385576117827447</v>
      </c>
      <c r="Z35" s="37">
        <f>MAX(S26:S31)-MIN(S26:S31)</f>
        <v>5.9990000000000006</v>
      </c>
      <c r="AA35" s="37" t="str">
        <f>TEXT(ROUND(MAX(S26:S31),1),"#.0")&amp;"–"&amp;TEXT(ROUND(MIN(S26:S31),1),"#.0")</f>
        <v>18.7–12.7</v>
      </c>
      <c r="AB35" s="37">
        <f>MEDIAN(S26:S31)</f>
        <v>14.6585</v>
      </c>
      <c r="AC35" s="37">
        <f>QUARTILE(S26:S31,3)-QUARTILE(S26:S31,1)</f>
        <v>3.4102500000000013</v>
      </c>
      <c r="AD35" s="37" t="str">
        <f>TEXT(ROUND(QUARTILE(S26:S31,3),1),"#.0")&amp;"–"&amp;TEXT(ROUND(QUARTILE(S26:S31,1),1),"#.0")</f>
        <v>17.2–13.8</v>
      </c>
    </row>
    <row r="36" spans="1:31" s="71" customFormat="1" x14ac:dyDescent="0.2">
      <c r="A36" s="52"/>
      <c r="B36" s="52"/>
      <c r="C36" s="52"/>
      <c r="D36" s="52"/>
      <c r="E36" s="53"/>
      <c r="F36" s="53"/>
      <c r="G36" s="54"/>
      <c r="H36" s="54"/>
      <c r="I36" s="53"/>
      <c r="J36" s="55"/>
      <c r="K36" s="55"/>
      <c r="L36" s="54"/>
      <c r="M36" s="56"/>
      <c r="N36" s="56"/>
      <c r="O36" s="57"/>
      <c r="P36" s="57"/>
      <c r="Q36" s="57"/>
      <c r="R36" s="57"/>
      <c r="S36" s="55"/>
      <c r="T36" s="58" t="s">
        <v>159</v>
      </c>
      <c r="U36" s="59"/>
      <c r="V36" s="59"/>
      <c r="W36" s="60">
        <f>COUNT(S26:S29,S31)</f>
        <v>5</v>
      </c>
      <c r="X36" s="61">
        <f>(SUM((S26/(U26^2)),(S27/(U27^2)),(S28/(U28^2)),(S29/(U29^2)),(S31/(U31^2))))/(SUM((1/U26^2),(1/U27^2),(1/U28^2),(1/U29^2),(1/U31^2)))</f>
        <v>14.250415204616477</v>
      </c>
      <c r="Y36" s="61">
        <f>SQRT(1/(SUM((1/U26^2),(1/U27^2),(1/U28^2),(1/U29^2),(1/U31^2))))</f>
        <v>0.55174449904631173</v>
      </c>
      <c r="Z36" s="61">
        <f>MAX(S26:S29,S31)-MIN(S26:S29,S31)</f>
        <v>5.2269999999999985</v>
      </c>
      <c r="AA36" s="61" t="str">
        <f>TEXT(ROUND(MAX(S26:S29,S31),1),"#.0")&amp;"–"&amp;TEXT(ROUND(MIN(S26:S29,S31),1),"#.0")</f>
        <v>17.9–12.7</v>
      </c>
      <c r="AB36" s="61">
        <f>MEDIAN(S26:S29,S31)</f>
        <v>14.225</v>
      </c>
      <c r="AC36" s="61">
        <f>QUARTILE((S26:S29,S31),3)-QUARTILE((S26:S29,S31),1)</f>
        <v>1.4560000000000013</v>
      </c>
      <c r="AD36" s="61" t="str">
        <f>TEXT(ROUND(QUARTILE((S26:S29,S31),3),1),"#.0")&amp;"–"&amp;TEXT(ROUND(QUARTILE((S26:S29,S31),1),1),"#.0")</f>
        <v>15.1–13.6</v>
      </c>
      <c r="AE36" s="72"/>
    </row>
    <row r="37" spans="1:31" x14ac:dyDescent="0.2">
      <c r="A37" s="7" t="s">
        <v>57</v>
      </c>
      <c r="B37" s="22" t="s">
        <v>143</v>
      </c>
      <c r="C37" s="7" t="s">
        <v>58</v>
      </c>
      <c r="D37" s="7" t="s">
        <v>30</v>
      </c>
      <c r="E37" s="8" t="s">
        <v>31</v>
      </c>
      <c r="F37" s="8" t="s">
        <v>32</v>
      </c>
      <c r="G37" s="9">
        <v>51.588000000000001</v>
      </c>
      <c r="H37" s="9">
        <v>-128.02379999999999</v>
      </c>
      <c r="I37" s="8">
        <v>631</v>
      </c>
      <c r="J37" s="10">
        <v>2.2000000000000002</v>
      </c>
      <c r="K37" s="10">
        <v>2.7</v>
      </c>
      <c r="L37" s="9">
        <v>0.98532399999999998</v>
      </c>
      <c r="M37" s="11">
        <v>10.3315</v>
      </c>
      <c r="N37" s="11">
        <v>0.25869999999999999</v>
      </c>
      <c r="O37" s="13">
        <v>7.47</v>
      </c>
      <c r="P37" s="13">
        <v>0.27</v>
      </c>
      <c r="Q37" s="13">
        <v>13.45</v>
      </c>
      <c r="R37" s="13">
        <v>0.69</v>
      </c>
      <c r="S37" s="10">
        <v>18.321999999999999</v>
      </c>
      <c r="T37" s="10">
        <v>0.95</v>
      </c>
      <c r="U37" s="10">
        <v>1.4430000000000001</v>
      </c>
      <c r="V37" s="34" t="s">
        <v>161</v>
      </c>
      <c r="W37" s="29"/>
      <c r="X37" s="34"/>
      <c r="Y37" s="34"/>
      <c r="Z37" s="35"/>
      <c r="AA37" s="35"/>
      <c r="AB37" s="35"/>
      <c r="AC37" s="35"/>
      <c r="AD37" s="35"/>
    </row>
    <row r="38" spans="1:31" x14ac:dyDescent="0.2">
      <c r="A38" s="7" t="s">
        <v>59</v>
      </c>
      <c r="B38" s="22" t="s">
        <v>143</v>
      </c>
      <c r="C38" s="7" t="s">
        <v>58</v>
      </c>
      <c r="D38" s="7" t="s">
        <v>30</v>
      </c>
      <c r="E38" s="8" t="s">
        <v>31</v>
      </c>
      <c r="F38" s="8" t="s">
        <v>32</v>
      </c>
      <c r="G38" s="9">
        <v>51.588500000000003</v>
      </c>
      <c r="H38" s="9">
        <v>-128.02330000000001</v>
      </c>
      <c r="I38" s="8">
        <v>637</v>
      </c>
      <c r="J38" s="10">
        <v>2.2000000000000002</v>
      </c>
      <c r="K38" s="10">
        <v>2.7</v>
      </c>
      <c r="L38" s="9">
        <v>0.99382499999999996</v>
      </c>
      <c r="M38" s="11">
        <v>10.895</v>
      </c>
      <c r="N38" s="11">
        <v>0.25919999999999999</v>
      </c>
      <c r="O38" s="13">
        <v>7.7</v>
      </c>
      <c r="P38" s="13">
        <v>0.35</v>
      </c>
      <c r="Q38" s="13">
        <v>12.22</v>
      </c>
      <c r="R38" s="13">
        <v>0.92</v>
      </c>
      <c r="S38" s="10">
        <v>16.449000000000002</v>
      </c>
      <c r="T38" s="10">
        <v>1.24</v>
      </c>
      <c r="U38" s="10">
        <v>1.577</v>
      </c>
      <c r="V38" s="34" t="s">
        <v>161</v>
      </c>
      <c r="W38" s="29"/>
      <c r="X38" s="34"/>
      <c r="Y38" s="34"/>
      <c r="Z38" s="35"/>
      <c r="AA38" s="35"/>
      <c r="AB38" s="35"/>
      <c r="AC38" s="35"/>
      <c r="AD38" s="35"/>
    </row>
    <row r="39" spans="1:31" x14ac:dyDescent="0.2">
      <c r="A39" s="7" t="s">
        <v>60</v>
      </c>
      <c r="B39" s="22" t="s">
        <v>143</v>
      </c>
      <c r="C39" s="7" t="s">
        <v>58</v>
      </c>
      <c r="D39" s="7" t="s">
        <v>30</v>
      </c>
      <c r="E39" s="8" t="s">
        <v>31</v>
      </c>
      <c r="F39" s="8" t="s">
        <v>32</v>
      </c>
      <c r="G39" s="9">
        <v>51.588200000000001</v>
      </c>
      <c r="H39" s="9">
        <v>-128.02279999999999</v>
      </c>
      <c r="I39" s="8">
        <v>634</v>
      </c>
      <c r="J39" s="10">
        <v>1.6</v>
      </c>
      <c r="K39" s="10">
        <v>2.7</v>
      </c>
      <c r="L39" s="9">
        <v>0.99279099999999998</v>
      </c>
      <c r="M39" s="11">
        <v>10.6836</v>
      </c>
      <c r="N39" s="11">
        <v>0.2591</v>
      </c>
      <c r="O39" s="13">
        <v>7.72</v>
      </c>
      <c r="P39" s="13">
        <v>7.0000000000000007E-2</v>
      </c>
      <c r="Q39" s="13">
        <v>13.11</v>
      </c>
      <c r="R39" s="13">
        <v>0.24</v>
      </c>
      <c r="S39" s="10">
        <v>17.602</v>
      </c>
      <c r="T39" s="10">
        <v>0.32800000000000001</v>
      </c>
      <c r="U39" s="10">
        <v>1.093</v>
      </c>
      <c r="V39" s="34" t="s">
        <v>161</v>
      </c>
      <c r="W39" s="29"/>
      <c r="X39" s="34"/>
      <c r="Y39" s="34"/>
      <c r="Z39" s="35"/>
      <c r="AA39" s="35"/>
      <c r="AB39" s="35"/>
      <c r="AC39" s="35"/>
      <c r="AD39" s="35"/>
    </row>
    <row r="40" spans="1:31" x14ac:dyDescent="0.2">
      <c r="A40" s="7" t="s">
        <v>61</v>
      </c>
      <c r="B40" s="22" t="s">
        <v>143</v>
      </c>
      <c r="C40" s="7" t="s">
        <v>58</v>
      </c>
      <c r="D40" s="7" t="s">
        <v>30</v>
      </c>
      <c r="E40" s="8" t="s">
        <v>31</v>
      </c>
      <c r="F40" s="8" t="s">
        <v>32</v>
      </c>
      <c r="G40" s="9">
        <v>51.587499999999999</v>
      </c>
      <c r="H40" s="9">
        <v>-128.02189999999999</v>
      </c>
      <c r="I40" s="8">
        <v>627</v>
      </c>
      <c r="J40" s="10">
        <v>2.4</v>
      </c>
      <c r="K40" s="10">
        <v>2.7</v>
      </c>
      <c r="L40" s="9">
        <v>0.99793299999999996</v>
      </c>
      <c r="M40" s="11">
        <v>10.138400000000001</v>
      </c>
      <c r="N40" s="11">
        <v>0.25940000000000002</v>
      </c>
      <c r="O40" s="13">
        <v>7.02</v>
      </c>
      <c r="P40" s="13">
        <v>0.26</v>
      </c>
      <c r="Q40" s="13">
        <v>13.28</v>
      </c>
      <c r="R40" s="13">
        <v>0.52</v>
      </c>
      <c r="S40" s="10">
        <v>17.96</v>
      </c>
      <c r="T40" s="10">
        <v>0.70899999999999996</v>
      </c>
      <c r="U40" s="10">
        <v>1.2789999999999999</v>
      </c>
      <c r="V40" s="34" t="s">
        <v>161</v>
      </c>
      <c r="W40" s="29"/>
      <c r="X40" s="34"/>
      <c r="Y40" s="34"/>
      <c r="Z40" s="35"/>
      <c r="AA40" s="35"/>
      <c r="AB40" s="35"/>
      <c r="AC40" s="35"/>
      <c r="AD40" s="35"/>
    </row>
    <row r="41" spans="1:31" x14ac:dyDescent="0.2">
      <c r="A41" s="7" t="s">
        <v>62</v>
      </c>
      <c r="B41" s="22" t="s">
        <v>143</v>
      </c>
      <c r="C41" s="7" t="s">
        <v>58</v>
      </c>
      <c r="D41" s="7" t="s">
        <v>41</v>
      </c>
      <c r="E41" s="8" t="s">
        <v>31</v>
      </c>
      <c r="F41" s="8" t="s">
        <v>32</v>
      </c>
      <c r="G41" s="9">
        <v>51.5886</v>
      </c>
      <c r="H41" s="9">
        <v>-128.02549999999999</v>
      </c>
      <c r="I41" s="8">
        <v>624</v>
      </c>
      <c r="J41" s="10">
        <v>5.4</v>
      </c>
      <c r="K41" s="10">
        <v>2.7</v>
      </c>
      <c r="L41" s="9">
        <v>0.99889799999999995</v>
      </c>
      <c r="M41" s="11">
        <v>10.502700000000001</v>
      </c>
      <c r="N41" s="11">
        <v>0.25829999999999997</v>
      </c>
      <c r="O41" s="13">
        <v>7.45</v>
      </c>
      <c r="P41" s="13">
        <v>0.04</v>
      </c>
      <c r="Q41" s="13">
        <v>12.71</v>
      </c>
      <c r="R41" s="13">
        <v>0.2</v>
      </c>
      <c r="S41" s="10">
        <v>17.664999999999999</v>
      </c>
      <c r="T41" s="10">
        <v>0.28599999999999998</v>
      </c>
      <c r="U41" s="10">
        <v>1.085</v>
      </c>
      <c r="V41" s="34" t="s">
        <v>161</v>
      </c>
      <c r="W41" s="29"/>
      <c r="X41" s="34"/>
      <c r="Y41" s="34"/>
      <c r="Z41" s="35"/>
      <c r="AA41" s="35"/>
      <c r="AB41" s="35"/>
      <c r="AC41" s="35"/>
      <c r="AD41" s="35"/>
    </row>
    <row r="42" spans="1:31" x14ac:dyDescent="0.2">
      <c r="A42" s="4"/>
      <c r="B42" s="4"/>
      <c r="C42" s="4"/>
      <c r="D42" s="4"/>
      <c r="E42" s="5"/>
      <c r="F42" s="5"/>
      <c r="G42" s="15"/>
      <c r="H42" s="15"/>
      <c r="I42" s="5"/>
      <c r="J42" s="16"/>
      <c r="K42" s="16"/>
      <c r="L42" s="15"/>
      <c r="M42" s="17"/>
      <c r="N42" s="17"/>
      <c r="O42" s="18"/>
      <c r="P42" s="18"/>
      <c r="Q42" s="18"/>
      <c r="R42" s="18"/>
      <c r="S42" s="16"/>
      <c r="T42" s="16"/>
      <c r="U42" s="16"/>
      <c r="V42" s="16"/>
      <c r="W42" s="30">
        <f>COUNT(S37:S41)</f>
        <v>5</v>
      </c>
      <c r="X42" s="36">
        <f>(SUM((S37/(U37^2)),(S38/(U38^2)),(S39/(U39^2)),(S40/(U40^2)),(S41/(U41^2))))/(SUM((1/U37^2),(1/U38^2),(1/U39^2),(1/U40^2),(1/U41^2)))</f>
        <v>17.650588231725205</v>
      </c>
      <c r="Y42" s="36">
        <f>SQRT(1/(SUM((1/U37^2),(1/U38^2),(1/U39^2),(1/U40^2),(1/U41^2))))</f>
        <v>0.5607562922562711</v>
      </c>
      <c r="Z42" s="36">
        <f>MAX(S37:S41)-MIN(S37:S41)</f>
        <v>1.8729999999999976</v>
      </c>
      <c r="AA42" s="36" t="str">
        <f>TEXT(ROUND(MAX(S37:S41),1),"#.0")&amp;"–"&amp;TEXT(ROUND(MIN(S37:S41),1),"#.0")</f>
        <v>18.3–16.4</v>
      </c>
      <c r="AB42" s="36">
        <f>MEDIAN(S37:S41)</f>
        <v>17.664999999999999</v>
      </c>
      <c r="AC42" s="36">
        <f>QUARTILE(S37:S41,3)-QUARTILE(S37:S41,1)</f>
        <v>0.35800000000000054</v>
      </c>
      <c r="AD42" s="36" t="str">
        <f>TEXT(ROUND(QUARTILE(S37:S41,3),1),"#.0")&amp;"–"&amp;TEXT(ROUND(QUARTILE(S37:S41,1),1),"#.0")</f>
        <v>18.0–17.6</v>
      </c>
    </row>
    <row r="43" spans="1:31" x14ac:dyDescent="0.2">
      <c r="A43" s="7" t="s">
        <v>63</v>
      </c>
      <c r="B43" s="22" t="s">
        <v>143</v>
      </c>
      <c r="C43" s="7" t="s">
        <v>64</v>
      </c>
      <c r="D43" s="7" t="s">
        <v>30</v>
      </c>
      <c r="E43" s="8" t="s">
        <v>31</v>
      </c>
      <c r="F43" s="8" t="s">
        <v>32</v>
      </c>
      <c r="G43" s="9">
        <v>51.489600000000003</v>
      </c>
      <c r="H43" s="9">
        <v>-128.0745</v>
      </c>
      <c r="I43" s="8">
        <v>40</v>
      </c>
      <c r="J43" s="10">
        <v>2.2000000000000002</v>
      </c>
      <c r="K43" s="10">
        <v>2.7</v>
      </c>
      <c r="L43" s="9">
        <v>0.99278900000000003</v>
      </c>
      <c r="M43" s="11">
        <v>12.1889</v>
      </c>
      <c r="N43" s="11">
        <v>0.25769999999999998</v>
      </c>
      <c r="O43" s="13">
        <v>5.15</v>
      </c>
      <c r="P43" s="13">
        <v>0.19</v>
      </c>
      <c r="Q43" s="13">
        <v>7.51</v>
      </c>
      <c r="R43" s="13">
        <v>0.28999999999999998</v>
      </c>
      <c r="S43" s="10">
        <v>17.617999999999999</v>
      </c>
      <c r="T43" s="10">
        <v>0.67800000000000005</v>
      </c>
      <c r="U43" s="10">
        <v>1.2450000000000001</v>
      </c>
      <c r="V43" s="34" t="s">
        <v>161</v>
      </c>
      <c r="W43" s="29"/>
      <c r="X43" s="34"/>
      <c r="Y43" s="34"/>
      <c r="Z43" s="35"/>
      <c r="AA43" s="35"/>
      <c r="AB43" s="35"/>
      <c r="AC43" s="35"/>
      <c r="AD43" s="35"/>
    </row>
    <row r="44" spans="1:31" x14ac:dyDescent="0.2">
      <c r="A44" s="7" t="s">
        <v>65</v>
      </c>
      <c r="B44" s="22" t="s">
        <v>143</v>
      </c>
      <c r="C44" s="7" t="s">
        <v>64</v>
      </c>
      <c r="D44" s="7" t="s">
        <v>30</v>
      </c>
      <c r="E44" s="8" t="s">
        <v>31</v>
      </c>
      <c r="F44" s="8" t="s">
        <v>32</v>
      </c>
      <c r="G44" s="9">
        <v>51.489600000000003</v>
      </c>
      <c r="H44" s="9">
        <v>-128.0745</v>
      </c>
      <c r="I44" s="8">
        <v>40</v>
      </c>
      <c r="J44" s="10">
        <v>2.5</v>
      </c>
      <c r="K44" s="10">
        <v>2.7</v>
      </c>
      <c r="L44" s="9">
        <v>1</v>
      </c>
      <c r="M44" s="11">
        <v>11.620699999999999</v>
      </c>
      <c r="N44" s="11">
        <v>0.25769999999999998</v>
      </c>
      <c r="O44" s="13">
        <v>5</v>
      </c>
      <c r="P44" s="13">
        <v>0.18</v>
      </c>
      <c r="Q44" s="13">
        <v>7.65</v>
      </c>
      <c r="R44" s="13">
        <v>0.28000000000000003</v>
      </c>
      <c r="S44" s="10">
        <v>17.84</v>
      </c>
      <c r="T44" s="10">
        <v>0.66800000000000004</v>
      </c>
      <c r="U44" s="10">
        <v>1.25</v>
      </c>
      <c r="V44" s="34" t="s">
        <v>161</v>
      </c>
      <c r="W44" s="29"/>
      <c r="X44" s="34"/>
      <c r="Y44" s="34"/>
      <c r="Z44" s="35"/>
      <c r="AA44" s="35"/>
      <c r="AB44" s="35"/>
      <c r="AC44" s="35"/>
      <c r="AD44" s="35"/>
    </row>
    <row r="45" spans="1:31" x14ac:dyDescent="0.2">
      <c r="A45" s="7" t="s">
        <v>66</v>
      </c>
      <c r="B45" s="22" t="s">
        <v>143</v>
      </c>
      <c r="C45" s="7" t="s">
        <v>64</v>
      </c>
      <c r="D45" s="7" t="s">
        <v>30</v>
      </c>
      <c r="E45" s="8" t="s">
        <v>31</v>
      </c>
      <c r="F45" s="8" t="s">
        <v>32</v>
      </c>
      <c r="G45" s="9">
        <v>51.489600000000003</v>
      </c>
      <c r="H45" s="9">
        <v>-128.0744</v>
      </c>
      <c r="I45" s="8">
        <v>36</v>
      </c>
      <c r="J45" s="10">
        <v>2.2000000000000002</v>
      </c>
      <c r="K45" s="10">
        <v>2.7</v>
      </c>
      <c r="L45" s="9">
        <v>0.99563900000000005</v>
      </c>
      <c r="M45" s="11">
        <v>10.038</v>
      </c>
      <c r="N45" s="11">
        <v>0.25690000000000002</v>
      </c>
      <c r="O45" s="13">
        <v>4.09</v>
      </c>
      <c r="P45" s="13">
        <v>0.05</v>
      </c>
      <c r="Q45" s="13">
        <v>7.15</v>
      </c>
      <c r="R45" s="13">
        <v>0.12</v>
      </c>
      <c r="S45" s="10">
        <v>16.809000000000001</v>
      </c>
      <c r="T45" s="10">
        <v>0.28599999999999998</v>
      </c>
      <c r="U45" s="10">
        <v>1.036</v>
      </c>
      <c r="V45" s="34" t="s">
        <v>161</v>
      </c>
      <c r="W45" s="29"/>
      <c r="X45" s="34"/>
      <c r="Y45" s="34"/>
      <c r="Z45" s="35"/>
      <c r="AA45" s="35"/>
      <c r="AB45" s="35"/>
      <c r="AC45" s="35"/>
      <c r="AD45" s="35"/>
    </row>
    <row r="46" spans="1:31" x14ac:dyDescent="0.2">
      <c r="A46" s="7" t="s">
        <v>67</v>
      </c>
      <c r="B46" s="22" t="s">
        <v>143</v>
      </c>
      <c r="C46" s="7" t="s">
        <v>64</v>
      </c>
      <c r="D46" s="7" t="s">
        <v>30</v>
      </c>
      <c r="E46" s="8" t="s">
        <v>31</v>
      </c>
      <c r="F46" s="8" t="s">
        <v>32</v>
      </c>
      <c r="G46" s="9">
        <v>51.489600000000003</v>
      </c>
      <c r="H46" s="9">
        <v>-128.07419999999999</v>
      </c>
      <c r="I46" s="8">
        <v>39</v>
      </c>
      <c r="J46" s="10">
        <v>2.6</v>
      </c>
      <c r="K46" s="10">
        <v>2.7</v>
      </c>
      <c r="L46" s="9">
        <v>0.99480100000000005</v>
      </c>
      <c r="M46" s="11">
        <v>9.7256</v>
      </c>
      <c r="N46" s="11">
        <v>0.25619999999999998</v>
      </c>
      <c r="O46" s="13">
        <v>4.0599999999999996</v>
      </c>
      <c r="P46" s="13">
        <v>0.1</v>
      </c>
      <c r="Q46" s="13">
        <v>7.31</v>
      </c>
      <c r="R46" s="13">
        <v>0.2</v>
      </c>
      <c r="S46" s="10">
        <v>17.192</v>
      </c>
      <c r="T46" s="10">
        <v>0.46600000000000003</v>
      </c>
      <c r="U46" s="10">
        <v>1.1200000000000001</v>
      </c>
      <c r="V46" s="34" t="s">
        <v>161</v>
      </c>
      <c r="W46" s="29"/>
      <c r="X46" s="34"/>
      <c r="Y46" s="34"/>
      <c r="Z46" s="35"/>
      <c r="AA46" s="35"/>
      <c r="AB46" s="35"/>
      <c r="AC46" s="35"/>
      <c r="AD46" s="35"/>
    </row>
    <row r="47" spans="1:31" x14ac:dyDescent="0.2">
      <c r="A47" s="4"/>
      <c r="B47" s="4"/>
      <c r="C47" s="4"/>
      <c r="D47" s="4"/>
      <c r="E47" s="5"/>
      <c r="F47" s="5"/>
      <c r="G47" s="15"/>
      <c r="H47" s="15"/>
      <c r="I47" s="5"/>
      <c r="J47" s="16"/>
      <c r="K47" s="16"/>
      <c r="L47" s="15"/>
      <c r="M47" s="17"/>
      <c r="N47" s="17"/>
      <c r="O47" s="18"/>
      <c r="P47" s="18"/>
      <c r="Q47" s="18"/>
      <c r="R47" s="18"/>
      <c r="S47" s="16"/>
      <c r="T47" s="16"/>
      <c r="U47" s="16"/>
      <c r="V47" s="16"/>
      <c r="W47" s="30">
        <f>COUNT(S43:S46)</f>
        <v>4</v>
      </c>
      <c r="X47" s="36">
        <f>(SUM((S43/(U43^2)),(S44/(U44^2)),(S45/(U45^2)),(S46/(U46^2))))/(SUM((1/U43^2),(1/U44^2),(1/U45^2),(1/U46^2)))</f>
        <v>17.302386060094737</v>
      </c>
      <c r="Y47" s="36">
        <f>SQRT(1/(SUM((1/U43^2),(1/U44^2),(1/U45^2),(1/U46^2))))</f>
        <v>0.57600263742946134</v>
      </c>
      <c r="Z47" s="36">
        <f>MAX(S43:S46)-MIN(S43:S46)</f>
        <v>1.0309999999999988</v>
      </c>
      <c r="AA47" s="36" t="str">
        <f>TEXT(ROUND(MAX(S43:S46),1),"#.0")&amp;"–"&amp;TEXT(ROUND(MIN(S43:S46),1),"#.0")</f>
        <v>17.8–16.8</v>
      </c>
      <c r="AB47" s="36">
        <f>MEDIAN(S43:S46)</f>
        <v>17.405000000000001</v>
      </c>
      <c r="AC47" s="36">
        <f>QUARTILE(S43:S46,3)-QUARTILE(S43:S46,1)</f>
        <v>0.57724999999999582</v>
      </c>
      <c r="AD47" s="36" t="str">
        <f>TEXT(ROUND(QUARTILE(S43:S46,3),1),"#.0")&amp;"–"&amp;TEXT(ROUND(QUARTILE(S43:S46,1),1),"#.0")</f>
        <v>17.7–17.1</v>
      </c>
    </row>
    <row r="48" spans="1:31" x14ac:dyDescent="0.2">
      <c r="A48" s="7" t="s">
        <v>68</v>
      </c>
      <c r="B48" s="22" t="s">
        <v>143</v>
      </c>
      <c r="C48" s="7" t="s">
        <v>69</v>
      </c>
      <c r="D48" s="7" t="s">
        <v>30</v>
      </c>
      <c r="E48" s="8" t="s">
        <v>31</v>
      </c>
      <c r="F48" s="8" t="s">
        <v>32</v>
      </c>
      <c r="G48" s="9">
        <v>51.96</v>
      </c>
      <c r="H48" s="9">
        <v>-128.19579999999999</v>
      </c>
      <c r="I48" s="8">
        <v>80</v>
      </c>
      <c r="J48" s="10">
        <v>2.4</v>
      </c>
      <c r="K48" s="10">
        <v>2.7</v>
      </c>
      <c r="L48" s="9">
        <v>0.98889800000000005</v>
      </c>
      <c r="M48" s="11">
        <v>10.3184</v>
      </c>
      <c r="N48" s="11">
        <v>0.25840000000000002</v>
      </c>
      <c r="O48" s="13">
        <v>3.96</v>
      </c>
      <c r="P48" s="13">
        <v>0.16</v>
      </c>
      <c r="Q48" s="13">
        <v>7.32</v>
      </c>
      <c r="R48" s="13">
        <v>0.39</v>
      </c>
      <c r="S48" s="10">
        <v>16.545000000000002</v>
      </c>
      <c r="T48" s="10">
        <v>0.876</v>
      </c>
      <c r="U48" s="10">
        <v>1.3140000000000001</v>
      </c>
      <c r="V48" s="34" t="s">
        <v>161</v>
      </c>
      <c r="W48" s="29"/>
      <c r="X48" s="34"/>
      <c r="Y48" s="34"/>
      <c r="Z48" s="35"/>
      <c r="AA48" s="35"/>
      <c r="AB48" s="35"/>
      <c r="AC48" s="35"/>
      <c r="AD48" s="35"/>
    </row>
    <row r="49" spans="1:31" x14ac:dyDescent="0.2">
      <c r="A49" s="7" t="s">
        <v>70</v>
      </c>
      <c r="B49" s="22" t="s">
        <v>143</v>
      </c>
      <c r="C49" s="7" t="s">
        <v>69</v>
      </c>
      <c r="D49" s="7" t="s">
        <v>41</v>
      </c>
      <c r="E49" s="8" t="s">
        <v>31</v>
      </c>
      <c r="F49" s="8" t="s">
        <v>32</v>
      </c>
      <c r="G49" s="9">
        <v>51.960099999999997</v>
      </c>
      <c r="H49" s="9">
        <v>-128.19589999999999</v>
      </c>
      <c r="I49" s="8">
        <v>81</v>
      </c>
      <c r="J49" s="10">
        <v>1.9</v>
      </c>
      <c r="K49" s="10">
        <v>2.7</v>
      </c>
      <c r="L49" s="9">
        <v>0.99967799999999996</v>
      </c>
      <c r="M49" s="11">
        <v>10.868600000000001</v>
      </c>
      <c r="N49" s="11">
        <v>0.25600000000000001</v>
      </c>
      <c r="O49" s="13">
        <v>4.8</v>
      </c>
      <c r="P49" s="13">
        <v>7.0000000000000007E-2</v>
      </c>
      <c r="Q49" s="13">
        <v>7.75</v>
      </c>
      <c r="R49" s="13">
        <v>0.15</v>
      </c>
      <c r="S49" s="10">
        <v>17.22</v>
      </c>
      <c r="T49" s="10">
        <v>0.32600000000000001</v>
      </c>
      <c r="U49" s="10">
        <v>1.071</v>
      </c>
      <c r="V49" s="34" t="s">
        <v>161</v>
      </c>
      <c r="W49" s="29"/>
      <c r="X49" s="34"/>
      <c r="Y49" s="34"/>
      <c r="Z49" s="35"/>
      <c r="AA49" s="35"/>
      <c r="AB49" s="35"/>
      <c r="AC49" s="35"/>
      <c r="AD49" s="35"/>
    </row>
    <row r="50" spans="1:31" x14ac:dyDescent="0.2">
      <c r="A50" s="7" t="s">
        <v>71</v>
      </c>
      <c r="B50" s="22" t="s">
        <v>143</v>
      </c>
      <c r="C50" s="7" t="s">
        <v>69</v>
      </c>
      <c r="D50" s="7" t="s">
        <v>30</v>
      </c>
      <c r="E50" s="8" t="s">
        <v>31</v>
      </c>
      <c r="F50" s="8" t="s">
        <v>32</v>
      </c>
      <c r="G50" s="9">
        <v>51.960299999999997</v>
      </c>
      <c r="H50" s="9">
        <v>-128.1953</v>
      </c>
      <c r="I50" s="8">
        <v>78</v>
      </c>
      <c r="J50" s="10">
        <v>2</v>
      </c>
      <c r="K50" s="10">
        <v>2.7</v>
      </c>
      <c r="L50" s="9">
        <v>0.99751000000000001</v>
      </c>
      <c r="M50" s="11">
        <v>10.0021</v>
      </c>
      <c r="N50" s="11">
        <v>0.25819999999999999</v>
      </c>
      <c r="O50" s="13">
        <v>3.64</v>
      </c>
      <c r="P50" s="13">
        <v>0.03</v>
      </c>
      <c r="Q50" s="13">
        <v>6.48</v>
      </c>
      <c r="R50" s="13">
        <v>0.08</v>
      </c>
      <c r="S50" s="10">
        <v>14.558</v>
      </c>
      <c r="T50" s="10">
        <v>0.189</v>
      </c>
      <c r="U50" s="10">
        <v>0.88300000000000001</v>
      </c>
      <c r="V50" s="34" t="s">
        <v>162</v>
      </c>
      <c r="W50" s="29"/>
      <c r="X50" s="34"/>
      <c r="Y50" s="34"/>
      <c r="Z50" s="35"/>
      <c r="AA50" s="35"/>
      <c r="AB50" s="35"/>
      <c r="AC50" s="35"/>
      <c r="AD50" s="35"/>
    </row>
    <row r="51" spans="1:31" x14ac:dyDescent="0.2">
      <c r="A51" s="7" t="s">
        <v>72</v>
      </c>
      <c r="B51" s="22" t="s">
        <v>143</v>
      </c>
      <c r="C51" s="7" t="s">
        <v>69</v>
      </c>
      <c r="D51" s="7" t="s">
        <v>30</v>
      </c>
      <c r="E51" s="8" t="s">
        <v>31</v>
      </c>
      <c r="F51" s="8" t="s">
        <v>32</v>
      </c>
      <c r="G51" s="9">
        <v>51.959600000000002</v>
      </c>
      <c r="H51" s="9">
        <v>-128.1968</v>
      </c>
      <c r="I51" s="8">
        <v>54</v>
      </c>
      <c r="J51" s="10">
        <v>1.6</v>
      </c>
      <c r="K51" s="10">
        <v>2.7</v>
      </c>
      <c r="L51" s="9">
        <v>0.99833899999999998</v>
      </c>
      <c r="M51" s="11">
        <v>10.2043</v>
      </c>
      <c r="N51" s="11">
        <v>0.25700000000000001</v>
      </c>
      <c r="O51" s="13">
        <v>4.21</v>
      </c>
      <c r="P51" s="13">
        <v>0.08</v>
      </c>
      <c r="Q51" s="13">
        <v>7.25</v>
      </c>
      <c r="R51" s="13">
        <v>0.16</v>
      </c>
      <c r="S51" s="10">
        <v>16.536999999999999</v>
      </c>
      <c r="T51" s="10">
        <v>0.35599999999999998</v>
      </c>
      <c r="U51" s="10">
        <v>1.042</v>
      </c>
      <c r="V51" s="34" t="s">
        <v>161</v>
      </c>
      <c r="W51" s="29"/>
      <c r="X51" s="34"/>
      <c r="Y51" s="34"/>
      <c r="Z51" s="35"/>
      <c r="AA51" s="35"/>
      <c r="AB51" s="35"/>
      <c r="AC51" s="35"/>
      <c r="AD51" s="35"/>
    </row>
    <row r="52" spans="1:31" x14ac:dyDescent="0.2">
      <c r="A52" s="7" t="s">
        <v>73</v>
      </c>
      <c r="B52" s="22" t="s">
        <v>143</v>
      </c>
      <c r="C52" s="7" t="s">
        <v>69</v>
      </c>
      <c r="D52" s="7" t="s">
        <v>30</v>
      </c>
      <c r="E52" s="8" t="s">
        <v>31</v>
      </c>
      <c r="F52" s="8" t="s">
        <v>32</v>
      </c>
      <c r="G52" s="9">
        <v>51.959200000000003</v>
      </c>
      <c r="H52" s="9">
        <v>-128.197</v>
      </c>
      <c r="I52" s="8">
        <v>54</v>
      </c>
      <c r="J52" s="10">
        <v>2</v>
      </c>
      <c r="K52" s="10">
        <v>2.7</v>
      </c>
      <c r="L52" s="9">
        <v>0.995286</v>
      </c>
      <c r="M52" s="11">
        <v>10.3386</v>
      </c>
      <c r="N52" s="11">
        <v>0.25869999999999999</v>
      </c>
      <c r="O52" s="13">
        <v>3.96</v>
      </c>
      <c r="P52" s="13">
        <v>0.13</v>
      </c>
      <c r="Q52" s="13">
        <v>6.78</v>
      </c>
      <c r="R52" s="13">
        <v>0.24</v>
      </c>
      <c r="S52" s="10">
        <v>15.571999999999999</v>
      </c>
      <c r="T52" s="10">
        <v>0.56399999999999995</v>
      </c>
      <c r="U52" s="10">
        <v>1.081</v>
      </c>
      <c r="V52" s="34" t="s">
        <v>161</v>
      </c>
      <c r="W52" s="29"/>
      <c r="X52" s="34"/>
      <c r="Y52" s="34"/>
      <c r="Z52" s="35"/>
      <c r="AA52" s="35"/>
      <c r="AB52" s="35"/>
      <c r="AC52" s="35"/>
      <c r="AD52" s="35"/>
    </row>
    <row r="53" spans="1:31" x14ac:dyDescent="0.2">
      <c r="A53" s="43"/>
      <c r="B53" s="43"/>
      <c r="C53" s="43"/>
      <c r="D53" s="43"/>
      <c r="E53" s="44"/>
      <c r="F53" s="44"/>
      <c r="G53" s="45"/>
      <c r="H53" s="45"/>
      <c r="I53" s="44"/>
      <c r="J53" s="46"/>
      <c r="K53" s="46"/>
      <c r="L53" s="45"/>
      <c r="M53" s="47"/>
      <c r="N53" s="47"/>
      <c r="O53" s="48"/>
      <c r="P53" s="48"/>
      <c r="Q53" s="48"/>
      <c r="R53" s="48"/>
      <c r="S53" s="46"/>
      <c r="T53" s="50" t="s">
        <v>88</v>
      </c>
      <c r="U53" s="46"/>
      <c r="V53" s="46"/>
      <c r="W53" s="51">
        <f>COUNT(S48:S52)</f>
        <v>5</v>
      </c>
      <c r="X53" s="37">
        <f>(SUM((S48/(U48^2)),(S49/(U49^2)),(S50/(U50^2)),(S51/(U51^2)),(S52/(U52^2))))/(SUM((1/U48^2),(1/U49^2),(1/U50^2),(1/U51^2),(1/U52^2)))</f>
        <v>15.9242005564733</v>
      </c>
      <c r="Y53" s="37">
        <f>SQRT(1/(SUM((1/U48^2),(1/U49^2),(1/U50^2),(1/U51^2),(1/U52^2))))</f>
        <v>0.47086546963240106</v>
      </c>
      <c r="Z53" s="37">
        <f>MAX(S48:S52)-MIN(S48:S52)</f>
        <v>2.661999999999999</v>
      </c>
      <c r="AA53" s="37" t="str">
        <f>TEXT(ROUND(MAX(S48:S52),1),"#.0")&amp;"–"&amp;TEXT(ROUND(MIN(S48:S52),1),"#.0")</f>
        <v>17.2–14.6</v>
      </c>
      <c r="AB53" s="37">
        <f>MEDIAN(S48:S52)</f>
        <v>16.536999999999999</v>
      </c>
      <c r="AC53" s="37">
        <f>QUARTILE(S48:S52,3)-QUARTILE(S48:S52,1)</f>
        <v>0.97300000000000253</v>
      </c>
      <c r="AD53" s="37" t="str">
        <f>TEXT(ROUND(QUARTILE(S48:S52,3),1),"#.0")&amp;"–"&amp;TEXT(ROUND(QUARTILE(S48:S52,1),1),"#.0")</f>
        <v>16.5–15.6</v>
      </c>
    </row>
    <row r="54" spans="1:31" x14ac:dyDescent="0.2">
      <c r="A54" s="4"/>
      <c r="B54" s="4"/>
      <c r="C54" s="4"/>
      <c r="D54" s="4"/>
      <c r="E54" s="6"/>
      <c r="F54" s="6"/>
      <c r="G54" s="27"/>
      <c r="H54" s="27"/>
      <c r="I54" s="6"/>
      <c r="J54" s="16"/>
      <c r="K54" s="16"/>
      <c r="L54" s="27"/>
      <c r="M54" s="17"/>
      <c r="N54" s="17"/>
      <c r="O54" s="18"/>
      <c r="P54" s="18"/>
      <c r="Q54" s="18"/>
      <c r="R54" s="18"/>
      <c r="S54" s="16"/>
      <c r="T54" s="59" t="s">
        <v>157</v>
      </c>
      <c r="U54" s="16"/>
      <c r="V54" s="16"/>
      <c r="W54" s="60">
        <f>COUNT(S48:S49,S51:S52)</f>
        <v>4</v>
      </c>
      <c r="X54" s="61">
        <f>(SUM((S48/(U48^2)),(S49/(U49^2)),(S51/(U51^2)),(S52/(U52^2))))/(SUM((1/U48^2),(1/U49^2),(1/U51^2),(1/U52^2)))</f>
        <v>16.467067790215157</v>
      </c>
      <c r="Y54" s="61">
        <f>SQRT(1/(SUM((1/U48^2),(1/U49^2),(1/U51^2),(1/U52^2))))</f>
        <v>0.55660908333255543</v>
      </c>
      <c r="Z54" s="61">
        <f>MAX(S48:S49,S51:S52)-MIN(S48:S49,S51:S52)</f>
        <v>1.6479999999999997</v>
      </c>
      <c r="AA54" s="61" t="str">
        <f>TEXT(ROUND(MAX(S48:S49,S51:S52),1),"#.0")&amp;"–"&amp;TEXT(ROUND(MIN(S48:S49,S51:S52),1),"#.0")</f>
        <v>17.2–15.6</v>
      </c>
      <c r="AB54" s="61">
        <f>MEDIAN(S48:S49,S51:S52)</f>
        <v>16.541</v>
      </c>
      <c r="AC54" s="61">
        <f>QUARTILE((S48:S49,S51:S52),3)-QUARTILE((S48:S49,S51:S52),1)</f>
        <v>0.41800000000000281</v>
      </c>
      <c r="AD54" s="61" t="str">
        <f>TEXT(ROUND(QUARTILE((S48:S49,S51:S52),3),1),"#.0")&amp;"–"&amp;TEXT(ROUND(QUARTILE((S48:S49,S51:S52),1),1),"#.0")</f>
        <v>16.7–16.3</v>
      </c>
      <c r="AE54" s="72"/>
    </row>
    <row r="55" spans="1:31" x14ac:dyDescent="0.2">
      <c r="A55" s="7" t="s">
        <v>74</v>
      </c>
      <c r="B55" s="22" t="s">
        <v>143</v>
      </c>
      <c r="C55" s="7" t="s">
        <v>75</v>
      </c>
      <c r="D55" s="7" t="s">
        <v>76</v>
      </c>
      <c r="E55" s="8" t="s">
        <v>31</v>
      </c>
      <c r="F55" s="8" t="s">
        <v>32</v>
      </c>
      <c r="G55" s="9">
        <v>51.593899999999998</v>
      </c>
      <c r="H55" s="9">
        <v>-128.0307</v>
      </c>
      <c r="I55" s="8">
        <v>642</v>
      </c>
      <c r="J55" s="10">
        <v>3</v>
      </c>
      <c r="K55" s="10">
        <v>2.7</v>
      </c>
      <c r="L55" s="9">
        <v>0.99997599999999998</v>
      </c>
      <c r="M55" s="11">
        <v>3.7229999999999999</v>
      </c>
      <c r="N55" s="11">
        <v>0.1938</v>
      </c>
      <c r="O55" s="13">
        <v>4</v>
      </c>
      <c r="P55" s="13">
        <v>0.37</v>
      </c>
      <c r="Q55" s="13">
        <v>13.6</v>
      </c>
      <c r="R55" s="13">
        <v>1.31</v>
      </c>
      <c r="S55" s="10">
        <v>18.196999999999999</v>
      </c>
      <c r="T55" s="10">
        <v>1.7609999999999999</v>
      </c>
      <c r="U55" s="10">
        <v>2.0649999999999999</v>
      </c>
      <c r="V55" s="34" t="s">
        <v>161</v>
      </c>
      <c r="W55" s="29"/>
      <c r="X55" s="34"/>
      <c r="Y55" s="34"/>
      <c r="Z55" s="35"/>
      <c r="AA55" s="35"/>
      <c r="AB55" s="35"/>
      <c r="AC55" s="35"/>
      <c r="AD55" s="35"/>
    </row>
    <row r="56" spans="1:31" x14ac:dyDescent="0.2">
      <c r="A56" s="7" t="s">
        <v>77</v>
      </c>
      <c r="B56" s="22" t="s">
        <v>143</v>
      </c>
      <c r="C56" s="7" t="s">
        <v>75</v>
      </c>
      <c r="D56" s="7" t="s">
        <v>76</v>
      </c>
      <c r="E56" s="8" t="s">
        <v>31</v>
      </c>
      <c r="F56" s="8" t="s">
        <v>32</v>
      </c>
      <c r="G56" s="9">
        <v>51.594000000000001</v>
      </c>
      <c r="H56" s="9">
        <v>-128.03149999999999</v>
      </c>
      <c r="I56" s="8">
        <v>640</v>
      </c>
      <c r="J56" s="10">
        <v>3</v>
      </c>
      <c r="K56" s="10">
        <v>2.7</v>
      </c>
      <c r="L56" s="9">
        <v>0.99997599999999998</v>
      </c>
      <c r="M56" s="11">
        <v>11.180999999999999</v>
      </c>
      <c r="N56" s="11">
        <v>0.191</v>
      </c>
      <c r="O56" s="13">
        <v>10.27</v>
      </c>
      <c r="P56" s="13">
        <v>0.41</v>
      </c>
      <c r="Q56" s="13">
        <v>11.6</v>
      </c>
      <c r="R56" s="13">
        <v>0.49</v>
      </c>
      <c r="S56" s="10">
        <v>15.603</v>
      </c>
      <c r="T56" s="10">
        <v>0.65800000000000003</v>
      </c>
      <c r="U56" s="10">
        <v>1.1339999999999999</v>
      </c>
      <c r="V56" s="34" t="s">
        <v>161</v>
      </c>
      <c r="W56" s="29"/>
      <c r="X56" s="34"/>
      <c r="Y56" s="34"/>
      <c r="Z56" s="35"/>
      <c r="AA56" s="35"/>
      <c r="AB56" s="35"/>
      <c r="AC56" s="35"/>
      <c r="AD56" s="35"/>
    </row>
    <row r="57" spans="1:31" x14ac:dyDescent="0.2">
      <c r="A57" s="7" t="s">
        <v>78</v>
      </c>
      <c r="B57" s="22" t="s">
        <v>143</v>
      </c>
      <c r="C57" s="7" t="s">
        <v>75</v>
      </c>
      <c r="D57" s="7" t="s">
        <v>76</v>
      </c>
      <c r="E57" s="8" t="s">
        <v>31</v>
      </c>
      <c r="F57" s="8" t="s">
        <v>32</v>
      </c>
      <c r="G57" s="9">
        <v>51.593800000000002</v>
      </c>
      <c r="H57" s="9">
        <v>-128.03190000000001</v>
      </c>
      <c r="I57" s="8">
        <v>644</v>
      </c>
      <c r="J57" s="10">
        <v>3</v>
      </c>
      <c r="K57" s="10">
        <v>2.7</v>
      </c>
      <c r="L57" s="9">
        <v>0.99965599999999999</v>
      </c>
      <c r="M57" s="11">
        <v>12.0883</v>
      </c>
      <c r="N57" s="11">
        <v>0.19170000000000001</v>
      </c>
      <c r="O57" s="13">
        <v>11.09</v>
      </c>
      <c r="P57" s="13">
        <v>0.4</v>
      </c>
      <c r="Q57" s="13">
        <v>11.7</v>
      </c>
      <c r="R57" s="13">
        <v>0.44</v>
      </c>
      <c r="S57" s="10">
        <v>15.683999999999999</v>
      </c>
      <c r="T57" s="10">
        <v>0.59099999999999997</v>
      </c>
      <c r="U57" s="10">
        <v>1.101</v>
      </c>
      <c r="V57" s="34" t="s">
        <v>161</v>
      </c>
      <c r="W57" s="29"/>
      <c r="X57" s="34"/>
      <c r="Y57" s="34"/>
      <c r="Z57" s="35"/>
      <c r="AA57" s="35"/>
      <c r="AB57" s="35"/>
      <c r="AC57" s="35"/>
      <c r="AD57" s="35"/>
    </row>
    <row r="58" spans="1:31" x14ac:dyDescent="0.2">
      <c r="A58" s="7" t="s">
        <v>79</v>
      </c>
      <c r="B58" s="22" t="s">
        <v>143</v>
      </c>
      <c r="C58" s="7" t="s">
        <v>75</v>
      </c>
      <c r="D58" s="7" t="s">
        <v>76</v>
      </c>
      <c r="E58" s="8" t="s">
        <v>31</v>
      </c>
      <c r="F58" s="8" t="s">
        <v>32</v>
      </c>
      <c r="G58" s="9">
        <v>51.593899999999998</v>
      </c>
      <c r="H58" s="9">
        <v>-128.03149999999999</v>
      </c>
      <c r="I58" s="8">
        <v>642</v>
      </c>
      <c r="J58" s="10">
        <v>3</v>
      </c>
      <c r="K58" s="10">
        <v>2.7</v>
      </c>
      <c r="L58" s="9">
        <v>0.99998100000000001</v>
      </c>
      <c r="M58" s="11">
        <v>11.2829</v>
      </c>
      <c r="N58" s="11">
        <v>0.18970000000000001</v>
      </c>
      <c r="O58" s="13">
        <v>10.88</v>
      </c>
      <c r="P58" s="13">
        <v>0.38</v>
      </c>
      <c r="Q58" s="13">
        <v>12.1</v>
      </c>
      <c r="R58" s="13">
        <v>0.45</v>
      </c>
      <c r="S58" s="10">
        <v>16.234999999999999</v>
      </c>
      <c r="T58" s="10">
        <v>0.60199999999999998</v>
      </c>
      <c r="U58" s="10">
        <v>1.135</v>
      </c>
      <c r="V58" s="34" t="s">
        <v>161</v>
      </c>
      <c r="W58" s="29"/>
      <c r="X58" s="34"/>
      <c r="Y58" s="34"/>
      <c r="Z58" s="35"/>
      <c r="AA58" s="35"/>
      <c r="AB58" s="35"/>
      <c r="AC58" s="35"/>
      <c r="AD58" s="35"/>
    </row>
    <row r="59" spans="1:31" x14ac:dyDescent="0.2">
      <c r="A59" s="7" t="s">
        <v>80</v>
      </c>
      <c r="B59" s="22" t="s">
        <v>143</v>
      </c>
      <c r="C59" s="7" t="s">
        <v>75</v>
      </c>
      <c r="D59" s="7" t="s">
        <v>41</v>
      </c>
      <c r="E59" s="8" t="s">
        <v>31</v>
      </c>
      <c r="F59" s="8" t="s">
        <v>32</v>
      </c>
      <c r="G59" s="9">
        <v>51.593899999999998</v>
      </c>
      <c r="H59" s="9">
        <v>-128.03149999999999</v>
      </c>
      <c r="I59" s="8">
        <v>642</v>
      </c>
      <c r="J59" s="10">
        <v>3</v>
      </c>
      <c r="K59" s="10">
        <v>2.7</v>
      </c>
      <c r="L59" s="9">
        <v>0.99998100000000001</v>
      </c>
      <c r="M59" s="11">
        <v>11.3584</v>
      </c>
      <c r="N59" s="11">
        <v>0.19170000000000001</v>
      </c>
      <c r="O59" s="13">
        <v>11.12</v>
      </c>
      <c r="P59" s="13">
        <v>0.46</v>
      </c>
      <c r="Q59" s="13">
        <v>12.5</v>
      </c>
      <c r="R59" s="13">
        <v>0.53</v>
      </c>
      <c r="S59" s="10">
        <v>16.757999999999999</v>
      </c>
      <c r="T59" s="10">
        <v>0.71599999999999997</v>
      </c>
      <c r="U59" s="10">
        <v>1.224</v>
      </c>
      <c r="V59" s="34" t="s">
        <v>161</v>
      </c>
      <c r="W59" s="29"/>
      <c r="X59" s="34"/>
      <c r="Y59" s="34"/>
      <c r="Z59" s="35"/>
      <c r="AA59" s="35"/>
      <c r="AB59" s="35"/>
      <c r="AC59" s="35"/>
      <c r="AD59" s="35"/>
    </row>
    <row r="60" spans="1:31" x14ac:dyDescent="0.2">
      <c r="A60" s="4"/>
      <c r="B60" s="4"/>
      <c r="C60" s="4"/>
      <c r="D60" s="4"/>
      <c r="E60" s="5"/>
      <c r="F60" s="5"/>
      <c r="G60" s="15"/>
      <c r="H60" s="15"/>
      <c r="I60" s="5"/>
      <c r="J60" s="16"/>
      <c r="K60" s="16"/>
      <c r="L60" s="15"/>
      <c r="M60" s="17"/>
      <c r="N60" s="17"/>
      <c r="O60" s="18"/>
      <c r="P60" s="18"/>
      <c r="Q60" s="18"/>
      <c r="R60" s="18"/>
      <c r="S60" s="16"/>
      <c r="T60" s="16"/>
      <c r="U60" s="16"/>
      <c r="V60" s="16"/>
      <c r="W60" s="30">
        <f>COUNT(S55:S59)</f>
        <v>5</v>
      </c>
      <c r="X60" s="36">
        <f>(SUM((S55/(U55^2)),(S56/(U56^2)),(S57/(U57^2)),(S58/(U58^2)),(S59/(U59^2))))/(SUM((1/U55^2),(1/U56^2),(1/U57^2),(1/U58^2),(1/U59^2)))</f>
        <v>16.193300136817925</v>
      </c>
      <c r="Y60" s="36">
        <f>SQRT(1/(SUM((1/U55^2),(1/U56^2),(1/U57^2),(1/U58^2),(1/U59^2))))</f>
        <v>0.5520880587339928</v>
      </c>
      <c r="Z60" s="36">
        <f>MAX(S55:S59)-MIN(S55:S59)</f>
        <v>2.5939999999999994</v>
      </c>
      <c r="AA60" s="36" t="str">
        <f>TEXT(ROUND(MAX(S55:S59),1),"#.0")&amp;"–"&amp;TEXT(ROUND(MIN(S55:S59),1),"#.0")</f>
        <v>18.2–15.6</v>
      </c>
      <c r="AB60" s="36">
        <f>MEDIAN(S55:S59)</f>
        <v>16.234999999999999</v>
      </c>
      <c r="AC60" s="36">
        <f>QUARTILE(S55:S59,3)-QUARTILE(S55:S59,1)</f>
        <v>1.0739999999999998</v>
      </c>
      <c r="AD60" s="36" t="str">
        <f>TEXT(ROUND(QUARTILE(S55:S59,3),1),"#.0")&amp;"–"&amp;TEXT(ROUND(QUARTILE(S55:S59,1),1),"#.0")</f>
        <v>16.8–15.7</v>
      </c>
    </row>
    <row r="61" spans="1:31" x14ac:dyDescent="0.2">
      <c r="A61" s="7" t="s">
        <v>81</v>
      </c>
      <c r="B61" s="22" t="s">
        <v>143</v>
      </c>
      <c r="C61" s="7" t="s">
        <v>82</v>
      </c>
      <c r="D61" s="7" t="s">
        <v>76</v>
      </c>
      <c r="E61" s="8" t="s">
        <v>31</v>
      </c>
      <c r="F61" s="8" t="s">
        <v>32</v>
      </c>
      <c r="G61" s="9">
        <v>51.666499999999999</v>
      </c>
      <c r="H61" s="9">
        <v>-128.06389999999999</v>
      </c>
      <c r="I61" s="8">
        <v>79</v>
      </c>
      <c r="J61" s="10">
        <v>2</v>
      </c>
      <c r="K61" s="10">
        <v>2.7</v>
      </c>
      <c r="L61" s="9">
        <v>0.99981600000000004</v>
      </c>
      <c r="M61" s="11">
        <v>19.698599999999999</v>
      </c>
      <c r="N61" s="11">
        <v>0.19339999999999999</v>
      </c>
      <c r="O61" s="13">
        <v>10.38</v>
      </c>
      <c r="P61" s="13">
        <v>0.54</v>
      </c>
      <c r="Q61" s="13">
        <v>6.7</v>
      </c>
      <c r="R61" s="13">
        <v>0.36</v>
      </c>
      <c r="S61" s="10">
        <v>15.023</v>
      </c>
      <c r="T61" s="10">
        <v>0.81100000000000005</v>
      </c>
      <c r="U61" s="10">
        <v>1.204</v>
      </c>
      <c r="V61" s="34" t="s">
        <v>161</v>
      </c>
      <c r="W61" s="29"/>
      <c r="X61" s="34"/>
      <c r="Y61" s="34"/>
      <c r="Z61" s="35"/>
      <c r="AA61" s="35"/>
      <c r="AB61" s="35"/>
      <c r="AC61" s="35"/>
      <c r="AD61" s="35"/>
    </row>
    <row r="62" spans="1:31" x14ac:dyDescent="0.2">
      <c r="A62" s="7" t="s">
        <v>83</v>
      </c>
      <c r="B62" s="22" t="s">
        <v>143</v>
      </c>
      <c r="C62" s="7" t="s">
        <v>82</v>
      </c>
      <c r="D62" s="7" t="s">
        <v>76</v>
      </c>
      <c r="E62" s="8" t="s">
        <v>31</v>
      </c>
      <c r="F62" s="8" t="s">
        <v>32</v>
      </c>
      <c r="G62" s="9">
        <v>51.666499999999999</v>
      </c>
      <c r="H62" s="9">
        <v>-128.06389999999999</v>
      </c>
      <c r="I62" s="8">
        <v>79</v>
      </c>
      <c r="J62" s="10">
        <v>1</v>
      </c>
      <c r="K62" s="10">
        <v>2.7</v>
      </c>
      <c r="L62" s="9">
        <v>0.99981600000000004</v>
      </c>
      <c r="M62" s="11">
        <v>18.204999999999998</v>
      </c>
      <c r="N62" s="11">
        <v>0.1948</v>
      </c>
      <c r="O62" s="13">
        <v>8.23</v>
      </c>
      <c r="P62" s="13">
        <v>0.32</v>
      </c>
      <c r="Q62" s="13">
        <v>5.76</v>
      </c>
      <c r="R62" s="13">
        <v>0.24</v>
      </c>
      <c r="S62" s="10">
        <v>12.817</v>
      </c>
      <c r="T62" s="10">
        <v>0.53400000000000003</v>
      </c>
      <c r="U62" s="10">
        <v>0.92800000000000005</v>
      </c>
      <c r="V62" s="34" t="s">
        <v>161</v>
      </c>
      <c r="W62" s="29"/>
      <c r="X62" s="34"/>
      <c r="Y62" s="34"/>
      <c r="Z62" s="35"/>
      <c r="AA62" s="35"/>
      <c r="AB62" s="35"/>
      <c r="AC62" s="35"/>
      <c r="AD62" s="35"/>
    </row>
    <row r="63" spans="1:31" x14ac:dyDescent="0.2">
      <c r="A63" s="7" t="s">
        <v>84</v>
      </c>
      <c r="B63" s="22" t="s">
        <v>143</v>
      </c>
      <c r="C63" s="7" t="s">
        <v>82</v>
      </c>
      <c r="D63" s="7" t="s">
        <v>76</v>
      </c>
      <c r="E63" s="8" t="s">
        <v>31</v>
      </c>
      <c r="F63" s="8" t="s">
        <v>32</v>
      </c>
      <c r="G63" s="9">
        <v>51.665999999999997</v>
      </c>
      <c r="H63" s="9">
        <v>-128.06399999999999</v>
      </c>
      <c r="I63" s="8">
        <v>76</v>
      </c>
      <c r="J63" s="10">
        <v>5</v>
      </c>
      <c r="K63" s="10">
        <v>2.7</v>
      </c>
      <c r="L63" s="9">
        <v>0.99961800000000001</v>
      </c>
      <c r="M63" s="11">
        <v>10.0105</v>
      </c>
      <c r="N63" s="11">
        <v>0.19420000000000001</v>
      </c>
      <c r="O63" s="13">
        <v>4.76</v>
      </c>
      <c r="P63" s="13">
        <v>0.3</v>
      </c>
      <c r="Q63" s="13">
        <v>5.94</v>
      </c>
      <c r="R63" s="13">
        <v>0.4</v>
      </c>
      <c r="S63" s="10">
        <v>13.721</v>
      </c>
      <c r="T63" s="10">
        <v>0.93400000000000005</v>
      </c>
      <c r="U63" s="10">
        <v>1.238</v>
      </c>
      <c r="V63" s="34" t="s">
        <v>161</v>
      </c>
      <c r="W63" s="29"/>
      <c r="X63" s="34"/>
      <c r="Y63" s="34"/>
      <c r="Z63" s="35"/>
      <c r="AA63" s="35"/>
      <c r="AB63" s="35"/>
      <c r="AC63" s="35"/>
      <c r="AD63" s="35"/>
    </row>
    <row r="64" spans="1:31" x14ac:dyDescent="0.2">
      <c r="A64" s="7" t="s">
        <v>85</v>
      </c>
      <c r="B64" s="22" t="s">
        <v>143</v>
      </c>
      <c r="C64" s="7" t="s">
        <v>82</v>
      </c>
      <c r="D64" s="7" t="s">
        <v>76</v>
      </c>
      <c r="E64" s="8" t="s">
        <v>31</v>
      </c>
      <c r="F64" s="8" t="s">
        <v>32</v>
      </c>
      <c r="G64" s="9">
        <v>51.665300000000002</v>
      </c>
      <c r="H64" s="9">
        <v>-128.06460000000001</v>
      </c>
      <c r="I64" s="8">
        <v>79</v>
      </c>
      <c r="J64" s="10">
        <v>1</v>
      </c>
      <c r="K64" s="10">
        <v>2.7</v>
      </c>
      <c r="L64" s="9">
        <v>0.998027</v>
      </c>
      <c r="M64" s="11">
        <v>19.138100000000001</v>
      </c>
      <c r="N64" s="11">
        <v>0.19439999999999999</v>
      </c>
      <c r="O64" s="13">
        <v>9.52</v>
      </c>
      <c r="P64" s="13">
        <v>0.35</v>
      </c>
      <c r="Q64" s="13">
        <v>6.34</v>
      </c>
      <c r="R64" s="13">
        <v>0.25</v>
      </c>
      <c r="S64" s="10">
        <v>14.154999999999999</v>
      </c>
      <c r="T64" s="10">
        <v>0.55800000000000005</v>
      </c>
      <c r="U64" s="10">
        <v>1.0069999999999999</v>
      </c>
      <c r="V64" s="34" t="s">
        <v>161</v>
      </c>
      <c r="W64" s="29"/>
      <c r="X64" s="34"/>
      <c r="Y64" s="34"/>
      <c r="Z64" s="35"/>
      <c r="AA64" s="35"/>
      <c r="AB64" s="35"/>
      <c r="AC64" s="35"/>
      <c r="AD64" s="35"/>
    </row>
    <row r="65" spans="1:31" x14ac:dyDescent="0.2">
      <c r="A65" s="7" t="s">
        <v>86</v>
      </c>
      <c r="B65" s="22" t="s">
        <v>143</v>
      </c>
      <c r="C65" s="7" t="s">
        <v>82</v>
      </c>
      <c r="D65" s="7" t="s">
        <v>41</v>
      </c>
      <c r="E65" s="8" t="s">
        <v>31</v>
      </c>
      <c r="F65" s="8" t="s">
        <v>32</v>
      </c>
      <c r="G65" s="9">
        <v>51.663699999999999</v>
      </c>
      <c r="H65" s="9">
        <v>-128.0659</v>
      </c>
      <c r="I65" s="8">
        <v>101</v>
      </c>
      <c r="J65" s="10">
        <v>4</v>
      </c>
      <c r="K65" s="10">
        <v>2.7</v>
      </c>
      <c r="L65" s="9">
        <v>0.996529</v>
      </c>
      <c r="M65" s="11">
        <v>18.940899999999999</v>
      </c>
      <c r="N65" s="11">
        <v>0.1948</v>
      </c>
      <c r="O65" s="13">
        <v>16.64</v>
      </c>
      <c r="P65" s="13">
        <v>0.56000000000000005</v>
      </c>
      <c r="Q65" s="13">
        <v>11.31</v>
      </c>
      <c r="R65" s="13">
        <v>0.4</v>
      </c>
      <c r="S65" s="10">
        <v>25.042999999999999</v>
      </c>
      <c r="T65" s="10">
        <v>0.9</v>
      </c>
      <c r="U65" s="10">
        <v>1.738</v>
      </c>
      <c r="V65" s="34" t="s">
        <v>162</v>
      </c>
      <c r="W65" s="29"/>
      <c r="X65" s="34"/>
      <c r="Y65" s="34"/>
      <c r="Z65" s="35"/>
      <c r="AA65" s="35"/>
      <c r="AB65" s="35"/>
      <c r="AC65" s="35"/>
      <c r="AD65" s="35"/>
    </row>
    <row r="66" spans="1:31" x14ac:dyDescent="0.2">
      <c r="A66" s="7" t="s">
        <v>87</v>
      </c>
      <c r="B66" s="22" t="s">
        <v>143</v>
      </c>
      <c r="C66" s="7" t="s">
        <v>82</v>
      </c>
      <c r="D66" s="7" t="s">
        <v>41</v>
      </c>
      <c r="E66" s="8" t="s">
        <v>31</v>
      </c>
      <c r="F66" s="8" t="s">
        <v>32</v>
      </c>
      <c r="G66" s="9">
        <v>51.663699999999999</v>
      </c>
      <c r="H66" s="9">
        <v>-128.0659</v>
      </c>
      <c r="I66" s="8">
        <v>101</v>
      </c>
      <c r="J66" s="10">
        <v>1</v>
      </c>
      <c r="K66" s="10">
        <v>2.7</v>
      </c>
      <c r="L66" s="9">
        <v>0.996529</v>
      </c>
      <c r="M66" s="11">
        <v>19.511800000000001</v>
      </c>
      <c r="N66" s="11">
        <v>0.19500000000000001</v>
      </c>
      <c r="O66" s="13">
        <v>14.98</v>
      </c>
      <c r="P66" s="13">
        <v>0.48</v>
      </c>
      <c r="Q66" s="13">
        <v>9.89</v>
      </c>
      <c r="R66" s="13">
        <v>0.34</v>
      </c>
      <c r="S66" s="10">
        <v>21.431000000000001</v>
      </c>
      <c r="T66" s="10">
        <v>0.73899999999999999</v>
      </c>
      <c r="U66" s="10">
        <v>1.47</v>
      </c>
      <c r="V66" s="34" t="s">
        <v>162</v>
      </c>
      <c r="W66" s="29"/>
      <c r="X66" s="34"/>
      <c r="Y66" s="34"/>
      <c r="Z66" s="35"/>
      <c r="AA66" s="35"/>
      <c r="AB66" s="35"/>
      <c r="AC66" s="35"/>
      <c r="AD66" s="35"/>
    </row>
    <row r="67" spans="1:31" x14ac:dyDescent="0.2">
      <c r="A67" s="22"/>
      <c r="B67" s="22"/>
      <c r="C67" s="22"/>
      <c r="D67" s="22"/>
      <c r="E67" s="14"/>
      <c r="F67" s="14"/>
      <c r="G67" s="23"/>
      <c r="H67" s="23"/>
      <c r="I67" s="14"/>
      <c r="J67" s="24"/>
      <c r="K67" s="24"/>
      <c r="L67" s="23"/>
      <c r="M67" s="25"/>
      <c r="N67" s="25"/>
      <c r="O67" s="12"/>
      <c r="P67" s="12"/>
      <c r="Q67" s="12"/>
      <c r="R67" s="12"/>
      <c r="S67" s="24"/>
      <c r="T67" s="50" t="s">
        <v>88</v>
      </c>
      <c r="U67" s="26"/>
      <c r="V67" s="26"/>
      <c r="W67" s="29">
        <f>COUNT(S61:S66)</f>
        <v>6</v>
      </c>
      <c r="X67" s="37">
        <f>(SUM((S61/(U61^2)),(S62/(U62^2)),(S63/(U63^2)),(S64/(U64^2)),(S65/(U65^2)),(S66/(U66^2))))/(SUM((1/U61^2),(1/U62^2),(1/U63^2),(1/U64^2),(1/U65^2),(1/U66^2)))</f>
        <v>15.493536499430025</v>
      </c>
      <c r="Y67" s="37">
        <f>SQRT(1/(SUM((1/U61^2),(1/U62^2),(1/U63^2),(1/U64^2),(1/U65^2),(1/U66^2))))</f>
        <v>0.48317252324134746</v>
      </c>
      <c r="Z67" s="34">
        <f>MAX(S61:S66)-MIN(S61:S66)</f>
        <v>12.225999999999999</v>
      </c>
      <c r="AA67" s="34" t="str">
        <f>TEXT(ROUND(MAX(S61:S66),1),"#.0")&amp;"–"&amp;TEXT(ROUND(MIN(S61:S66),1),"#.0")</f>
        <v>25.0–12.8</v>
      </c>
      <c r="AB67" s="34">
        <f>MEDIAN(S61:S66)</f>
        <v>14.588999999999999</v>
      </c>
      <c r="AC67" s="34">
        <f>QUARTILE(S61:S66,3)-QUARTILE(S61:S66,1)</f>
        <v>5.9995000000000012</v>
      </c>
      <c r="AD67" s="34" t="str">
        <f>TEXT(ROUND(QUARTILE(S61:S66,3),1),"#.0")&amp;"–"&amp;TEXT(ROUND(QUARTILE(S61:S66,1),1),"#.0")</f>
        <v>19.8–13.8</v>
      </c>
    </row>
    <row r="68" spans="1:31" x14ac:dyDescent="0.2">
      <c r="A68" s="4"/>
      <c r="B68" s="4"/>
      <c r="C68" s="4"/>
      <c r="D68" s="4"/>
      <c r="E68" s="5"/>
      <c r="F68" s="5"/>
      <c r="G68" s="15"/>
      <c r="H68" s="15"/>
      <c r="I68" s="5"/>
      <c r="J68" s="16"/>
      <c r="K68" s="16"/>
      <c r="L68" s="15"/>
      <c r="M68" s="17"/>
      <c r="N68" s="17"/>
      <c r="O68" s="18"/>
      <c r="P68" s="18"/>
      <c r="Q68" s="18"/>
      <c r="R68" s="18"/>
      <c r="S68" s="16"/>
      <c r="T68" s="59" t="s">
        <v>157</v>
      </c>
      <c r="U68" s="21"/>
      <c r="V68" s="21"/>
      <c r="W68" s="30">
        <f>COUNT(S61:S64)</f>
        <v>4</v>
      </c>
      <c r="X68" s="36">
        <f>(SUM((S61/(U61^2)),(S62/(U62^2)),(S63/(U63^2)),(S64/(U64^2))))/(SUM((1/U61^2),(1/U62^2),(1/U63^2),(1/U64^2)))</f>
        <v>13.800216848818224</v>
      </c>
      <c r="Y68" s="36">
        <f>SQRT(1/(SUM((1/U61^2),(1/U62^2),(1/U63^2),(1/U64^2))))</f>
        <v>0.53531512495532807</v>
      </c>
      <c r="Z68" s="36">
        <f>MAX(S61:S64)-MIN(S61:S64)</f>
        <v>2.2059999999999995</v>
      </c>
      <c r="AA68" s="36" t="str">
        <f>TEXT(ROUND(MAX(S61:S64),1),"#.0")&amp;"–"&amp;TEXT(ROUND(MIN(S61:S64),1),"#.0")</f>
        <v>15.0–12.8</v>
      </c>
      <c r="AB68" s="36">
        <f>MEDIAN(S61:S64)</f>
        <v>13.937999999999999</v>
      </c>
      <c r="AC68" s="36">
        <f>QUARTILE(S61:S64,3)-QUARTILE(S61:S64,1)</f>
        <v>0.87699999999999889</v>
      </c>
      <c r="AD68" s="36" t="str">
        <f>TEXT(ROUND(QUARTILE(S61:S64,3),1),"#.0")&amp;"–"&amp;TEXT(ROUND(QUARTILE(S61:S64,1),1),"#.0")</f>
        <v>14.4–13.5</v>
      </c>
      <c r="AE68" s="72"/>
    </row>
    <row r="69" spans="1:31" x14ac:dyDescent="0.2">
      <c r="A69" s="7" t="s">
        <v>89</v>
      </c>
      <c r="B69" s="22" t="s">
        <v>143</v>
      </c>
      <c r="C69" s="7" t="s">
        <v>90</v>
      </c>
      <c r="D69" s="7" t="s">
        <v>30</v>
      </c>
      <c r="E69" s="8" t="s">
        <v>31</v>
      </c>
      <c r="F69" s="8" t="s">
        <v>32</v>
      </c>
      <c r="G69" s="9">
        <v>52.035499999999999</v>
      </c>
      <c r="H69" s="9">
        <v>-127.8866</v>
      </c>
      <c r="I69" s="8">
        <v>147</v>
      </c>
      <c r="J69" s="10">
        <v>1.6</v>
      </c>
      <c r="K69" s="10">
        <v>2.7</v>
      </c>
      <c r="L69" s="9">
        <v>0.95986199999999999</v>
      </c>
      <c r="M69" s="11">
        <v>10.4612</v>
      </c>
      <c r="N69" s="11">
        <v>0.25629999999999997</v>
      </c>
      <c r="O69" s="13">
        <v>3.72</v>
      </c>
      <c r="P69" s="13">
        <v>0.24</v>
      </c>
      <c r="Q69" s="13">
        <v>6.22</v>
      </c>
      <c r="R69" s="13">
        <v>0.41</v>
      </c>
      <c r="S69" s="10">
        <v>13.531000000000001</v>
      </c>
      <c r="T69" s="10">
        <v>0.90100000000000002</v>
      </c>
      <c r="U69" s="10">
        <v>1.206</v>
      </c>
      <c r="V69" s="34" t="s">
        <v>161</v>
      </c>
      <c r="W69" s="29"/>
      <c r="X69" s="34"/>
      <c r="Y69" s="34"/>
      <c r="Z69" s="35"/>
      <c r="AA69" s="35"/>
      <c r="AB69" s="35"/>
      <c r="AC69" s="35"/>
      <c r="AD69" s="35"/>
    </row>
    <row r="70" spans="1:31" x14ac:dyDescent="0.2">
      <c r="A70" s="7" t="s">
        <v>91</v>
      </c>
      <c r="B70" s="22" t="s">
        <v>143</v>
      </c>
      <c r="C70" s="7" t="s">
        <v>90</v>
      </c>
      <c r="D70" s="7" t="s">
        <v>30</v>
      </c>
      <c r="E70" s="8" t="s">
        <v>31</v>
      </c>
      <c r="F70" s="8" t="s">
        <v>32</v>
      </c>
      <c r="G70" s="9">
        <v>52.036200000000001</v>
      </c>
      <c r="H70" s="9">
        <v>-127.88639999999999</v>
      </c>
      <c r="I70" s="8">
        <v>179</v>
      </c>
      <c r="J70" s="10">
        <v>2</v>
      </c>
      <c r="K70" s="10">
        <v>2.7</v>
      </c>
      <c r="L70" s="9">
        <v>0.99622299999999997</v>
      </c>
      <c r="M70" s="11">
        <v>10.337300000000001</v>
      </c>
      <c r="N70" s="11">
        <v>0.25629999999999997</v>
      </c>
      <c r="O70" s="13">
        <v>4.29</v>
      </c>
      <c r="P70" s="13">
        <v>0.04</v>
      </c>
      <c r="Q70" s="13">
        <v>7.32</v>
      </c>
      <c r="R70" s="13">
        <v>0.1</v>
      </c>
      <c r="S70" s="10">
        <v>14.949</v>
      </c>
      <c r="T70" s="10">
        <v>0.20499999999999999</v>
      </c>
      <c r="U70" s="10">
        <v>0.90900000000000003</v>
      </c>
      <c r="V70" s="34" t="s">
        <v>162</v>
      </c>
      <c r="W70" s="29"/>
      <c r="X70" s="34"/>
      <c r="Y70" s="34"/>
      <c r="Z70" s="35"/>
      <c r="AA70" s="35"/>
      <c r="AB70" s="35"/>
      <c r="AC70" s="35"/>
      <c r="AD70" s="35"/>
    </row>
    <row r="71" spans="1:31" x14ac:dyDescent="0.2">
      <c r="A71" s="7" t="s">
        <v>92</v>
      </c>
      <c r="B71" s="22" t="s">
        <v>143</v>
      </c>
      <c r="C71" s="7" t="s">
        <v>90</v>
      </c>
      <c r="D71" s="7" t="s">
        <v>41</v>
      </c>
      <c r="E71" s="8" t="s">
        <v>31</v>
      </c>
      <c r="F71" s="8" t="s">
        <v>32</v>
      </c>
      <c r="G71" s="9">
        <v>52.036200000000001</v>
      </c>
      <c r="H71" s="9">
        <v>-127.8865</v>
      </c>
      <c r="I71" s="8">
        <v>181</v>
      </c>
      <c r="J71" s="10">
        <v>3.2</v>
      </c>
      <c r="K71" s="10">
        <v>2.7</v>
      </c>
      <c r="L71" s="9">
        <v>0.99815399999999999</v>
      </c>
      <c r="M71" s="11">
        <v>17.141100000000002</v>
      </c>
      <c r="N71" s="11">
        <v>0.25750000000000001</v>
      </c>
      <c r="O71" s="13">
        <v>7.02</v>
      </c>
      <c r="P71" s="13">
        <v>0.36</v>
      </c>
      <c r="Q71" s="13">
        <v>7.29</v>
      </c>
      <c r="R71" s="13">
        <v>0.38</v>
      </c>
      <c r="S71" s="10">
        <v>14.974</v>
      </c>
      <c r="T71" s="10">
        <v>0.78100000000000003</v>
      </c>
      <c r="U71" s="10">
        <v>1.1819999999999999</v>
      </c>
      <c r="V71" s="34" t="s">
        <v>161</v>
      </c>
      <c r="W71" s="29"/>
      <c r="X71" s="34"/>
      <c r="Y71" s="34"/>
      <c r="Z71" s="35"/>
      <c r="AA71" s="35"/>
      <c r="AB71" s="35"/>
      <c r="AC71" s="35"/>
      <c r="AD71" s="35"/>
    </row>
    <row r="72" spans="1:31" x14ac:dyDescent="0.2">
      <c r="A72" s="7" t="s">
        <v>93</v>
      </c>
      <c r="B72" s="22" t="s">
        <v>143</v>
      </c>
      <c r="C72" s="7" t="s">
        <v>90</v>
      </c>
      <c r="D72" s="7" t="s">
        <v>41</v>
      </c>
      <c r="E72" s="8" t="s">
        <v>31</v>
      </c>
      <c r="F72" s="8" t="s">
        <v>32</v>
      </c>
      <c r="G72" s="9">
        <v>52.036200000000001</v>
      </c>
      <c r="H72" s="9">
        <v>-127.8865</v>
      </c>
      <c r="I72" s="8">
        <v>180</v>
      </c>
      <c r="J72" s="10">
        <v>1.5</v>
      </c>
      <c r="K72" s="10">
        <v>2.7</v>
      </c>
      <c r="L72" s="9">
        <v>0.99815399999999999</v>
      </c>
      <c r="M72" s="11">
        <v>10.721</v>
      </c>
      <c r="N72" s="11">
        <v>0.25729999999999997</v>
      </c>
      <c r="O72" s="13">
        <v>4</v>
      </c>
      <c r="P72" s="13">
        <v>0.14000000000000001</v>
      </c>
      <c r="Q72" s="13">
        <v>6.61</v>
      </c>
      <c r="R72" s="13">
        <v>0.28999999999999998</v>
      </c>
      <c r="S72" s="10">
        <v>13.413</v>
      </c>
      <c r="T72" s="10">
        <v>0.59499999999999997</v>
      </c>
      <c r="U72" s="10">
        <v>0.99199999999999999</v>
      </c>
      <c r="V72" s="34" t="s">
        <v>161</v>
      </c>
      <c r="W72" s="29"/>
      <c r="X72" s="34"/>
      <c r="Y72" s="34"/>
      <c r="Z72" s="35"/>
      <c r="AA72" s="35"/>
      <c r="AB72" s="35"/>
      <c r="AC72" s="35"/>
      <c r="AD72" s="35"/>
    </row>
    <row r="73" spans="1:31" x14ac:dyDescent="0.2">
      <c r="A73" s="43"/>
      <c r="B73" s="43"/>
      <c r="C73" s="43"/>
      <c r="D73" s="43"/>
      <c r="E73" s="44"/>
      <c r="F73" s="44"/>
      <c r="G73" s="45"/>
      <c r="H73" s="45"/>
      <c r="I73" s="44"/>
      <c r="J73" s="46"/>
      <c r="K73" s="46"/>
      <c r="L73" s="45"/>
      <c r="M73" s="47"/>
      <c r="N73" s="47"/>
      <c r="O73" s="48"/>
      <c r="P73" s="48"/>
      <c r="Q73" s="48"/>
      <c r="R73" s="48"/>
      <c r="S73" s="46"/>
      <c r="T73" s="50" t="s">
        <v>88</v>
      </c>
      <c r="U73" s="46"/>
      <c r="V73" s="46"/>
      <c r="W73" s="51">
        <f>COUNT(S69:S72)</f>
        <v>4</v>
      </c>
      <c r="X73" s="37">
        <f>(SUM((S69/(U69^2)),(S70/(U70^2)),(S71/(U71^2)),(S72/(U72^2))))/(SUM((1/U69^2),(1/U70^2),(1/U71^2),(1/U72^2)))</f>
        <v>14.255306834775249</v>
      </c>
      <c r="Y73" s="37">
        <f>SQRT(1/(SUM((1/U69^2),(1/U70^2),(1/U71^2),(1/U72^2))))</f>
        <v>0.52488239507783585</v>
      </c>
      <c r="Z73" s="37">
        <f>MAX(S69:S72)-MIN(S69:S72)</f>
        <v>1.5609999999999999</v>
      </c>
      <c r="AA73" s="37" t="str">
        <f>TEXT(ROUND(MAX(S69:S72),1),"#.0")&amp;"–"&amp;TEXT(ROUND(MIN(S69:S72),1),"#.0")</f>
        <v>15.0–13.4</v>
      </c>
      <c r="AB73" s="37">
        <f>MEDIAN(S69:S72)</f>
        <v>14.24</v>
      </c>
      <c r="AC73" s="37">
        <f>QUARTILE(S69:S72,3)-QUARTILE(S69:S72,1)</f>
        <v>1.4537499999999994</v>
      </c>
      <c r="AD73" s="37" t="str">
        <f>TEXT(ROUND(QUARTILE(S69:S72,3),1),"#.0")&amp;"–"&amp;TEXT(ROUND(QUARTILE(S69:S72,1),1),"#.0")</f>
        <v>15.0–13.5</v>
      </c>
    </row>
    <row r="74" spans="1:31" x14ac:dyDescent="0.2">
      <c r="A74" s="4"/>
      <c r="B74" s="4"/>
      <c r="C74" s="4"/>
      <c r="D74" s="4"/>
      <c r="E74" s="6"/>
      <c r="F74" s="6"/>
      <c r="G74" s="27"/>
      <c r="H74" s="27"/>
      <c r="I74" s="6"/>
      <c r="J74" s="16"/>
      <c r="K74" s="16"/>
      <c r="L74" s="27"/>
      <c r="M74" s="17"/>
      <c r="N74" s="17"/>
      <c r="O74" s="18"/>
      <c r="P74" s="18"/>
      <c r="Q74" s="18"/>
      <c r="R74" s="18"/>
      <c r="S74" s="16"/>
      <c r="T74" s="59" t="s">
        <v>157</v>
      </c>
      <c r="U74" s="16"/>
      <c r="V74" s="16"/>
      <c r="W74" s="60">
        <f>COUNT(S69,S71:S72)</f>
        <v>3</v>
      </c>
      <c r="X74" s="61">
        <f>(SUM((S69/(U69^2)),(S71/(U71^2)),(S72/(U72^2))))/(SUM((1/U69^2),(1/U71^2),(1/U72^2)))</f>
        <v>13.908319451643118</v>
      </c>
      <c r="Y74" s="61">
        <f>SQRT(1/(SUM((1/U69^2),(1/U71^2),(1/U72^2))))</f>
        <v>0.64289051337054037</v>
      </c>
      <c r="Z74" s="61">
        <f>MAX(S69,S71:S72)-MIN(S69,S71:S72)</f>
        <v>1.5609999999999999</v>
      </c>
      <c r="AA74" s="61" t="str">
        <f>TEXT(ROUND(MAX(S69,S71:S72),1),"#.0")&amp;"–"&amp;TEXT(ROUND(MIN(S69,S71:S72),1),"#.0")</f>
        <v>15.0–13.4</v>
      </c>
      <c r="AB74" s="61">
        <f>MEDIAN(S69,S71:S72)</f>
        <v>13.531000000000001</v>
      </c>
      <c r="AC74" s="61">
        <f>QUARTILE((S69,S71:S72),3)-QUARTILE((S69,S71:S72),1)</f>
        <v>0.78049999999999997</v>
      </c>
      <c r="AD74" s="61" t="str">
        <f>TEXT(ROUND(QUARTILE((S69,S71:S72),3),1),"#.0")&amp;"–"&amp;TEXT(ROUND(QUARTILE((S69,S71:S72),1),1),"#.0")</f>
        <v>14.3–13.5</v>
      </c>
      <c r="AE74" s="72"/>
    </row>
    <row r="75" spans="1:31" x14ac:dyDescent="0.2">
      <c r="A75" s="7" t="s">
        <v>94</v>
      </c>
      <c r="B75" s="22" t="s">
        <v>143</v>
      </c>
      <c r="C75" s="7" t="s">
        <v>95</v>
      </c>
      <c r="D75" s="7" t="s">
        <v>30</v>
      </c>
      <c r="E75" s="8" t="s">
        <v>31</v>
      </c>
      <c r="F75" s="8" t="s">
        <v>32</v>
      </c>
      <c r="G75" s="9">
        <v>51.627200000000002</v>
      </c>
      <c r="H75" s="9">
        <v>-127.5819</v>
      </c>
      <c r="I75" s="8">
        <v>663</v>
      </c>
      <c r="J75" s="10">
        <v>5.6</v>
      </c>
      <c r="K75" s="10">
        <v>2.7</v>
      </c>
      <c r="L75" s="9">
        <v>0.99988900000000003</v>
      </c>
      <c r="M75" s="11">
        <v>11.3277</v>
      </c>
      <c r="N75" s="11">
        <v>0.25719999999999998</v>
      </c>
      <c r="O75" s="13">
        <v>6.28</v>
      </c>
      <c r="P75" s="13">
        <v>0.23</v>
      </c>
      <c r="Q75" s="13">
        <v>9.9</v>
      </c>
      <c r="R75" s="13">
        <v>0.47</v>
      </c>
      <c r="S75" s="10">
        <v>13.372</v>
      </c>
      <c r="T75" s="10">
        <v>0.63700000000000001</v>
      </c>
      <c r="U75" s="10">
        <v>1.016</v>
      </c>
      <c r="V75" s="34" t="s">
        <v>161</v>
      </c>
      <c r="W75" s="29"/>
      <c r="X75" s="34"/>
      <c r="Y75" s="34"/>
      <c r="Z75" s="35"/>
      <c r="AA75" s="35"/>
      <c r="AB75" s="35"/>
      <c r="AC75" s="35"/>
      <c r="AD75" s="35"/>
    </row>
    <row r="76" spans="1:31" x14ac:dyDescent="0.2">
      <c r="A76" s="7" t="s">
        <v>96</v>
      </c>
      <c r="B76" s="22" t="s">
        <v>143</v>
      </c>
      <c r="C76" s="7" t="s">
        <v>95</v>
      </c>
      <c r="D76" s="7" t="s">
        <v>41</v>
      </c>
      <c r="E76" s="8" t="s">
        <v>31</v>
      </c>
      <c r="F76" s="8" t="s">
        <v>32</v>
      </c>
      <c r="G76" s="9">
        <v>51.626399999999997</v>
      </c>
      <c r="H76" s="9">
        <v>-127.5804</v>
      </c>
      <c r="I76" s="8">
        <v>679</v>
      </c>
      <c r="J76" s="10">
        <v>5.0999999999999996</v>
      </c>
      <c r="K76" s="10">
        <v>2.7</v>
      </c>
      <c r="L76" s="9">
        <v>0.98731500000000005</v>
      </c>
      <c r="M76" s="11">
        <v>12.9686</v>
      </c>
      <c r="N76" s="11">
        <v>0.2576</v>
      </c>
      <c r="O76" s="13">
        <v>7.3</v>
      </c>
      <c r="P76" s="13">
        <v>0.19</v>
      </c>
      <c r="Q76" s="13">
        <v>10.029999999999999</v>
      </c>
      <c r="R76" s="13">
        <v>0.28000000000000003</v>
      </c>
      <c r="S76" s="10">
        <v>13.467000000000001</v>
      </c>
      <c r="T76" s="10">
        <v>0.371</v>
      </c>
      <c r="U76" s="10">
        <v>0.879</v>
      </c>
      <c r="V76" s="34" t="s">
        <v>161</v>
      </c>
      <c r="W76" s="29"/>
      <c r="X76" s="34"/>
      <c r="Y76" s="34"/>
      <c r="Z76" s="35"/>
      <c r="AA76" s="35"/>
      <c r="AB76" s="35"/>
      <c r="AC76" s="35"/>
      <c r="AD76" s="35"/>
    </row>
    <row r="77" spans="1:31" x14ac:dyDescent="0.2">
      <c r="A77" s="7" t="s">
        <v>97</v>
      </c>
      <c r="B77" s="22" t="s">
        <v>143</v>
      </c>
      <c r="C77" s="7" t="s">
        <v>95</v>
      </c>
      <c r="D77" s="7" t="s">
        <v>41</v>
      </c>
      <c r="E77" s="8" t="s">
        <v>31</v>
      </c>
      <c r="F77" s="8" t="s">
        <v>32</v>
      </c>
      <c r="G77" s="9">
        <v>51.626399999999997</v>
      </c>
      <c r="H77" s="9">
        <v>-127.5804</v>
      </c>
      <c r="I77" s="8">
        <v>679</v>
      </c>
      <c r="J77" s="10">
        <v>9.4</v>
      </c>
      <c r="K77" s="10">
        <v>2.7</v>
      </c>
      <c r="L77" s="9">
        <v>0.99628499999999998</v>
      </c>
      <c r="M77" s="11">
        <v>10.8453</v>
      </c>
      <c r="N77" s="11">
        <v>0.25729999999999997</v>
      </c>
      <c r="O77" s="13">
        <v>6.1</v>
      </c>
      <c r="P77" s="13">
        <v>0.12</v>
      </c>
      <c r="Q77" s="13">
        <v>10</v>
      </c>
      <c r="R77" s="13">
        <v>0.22</v>
      </c>
      <c r="S77" s="10">
        <v>13.785</v>
      </c>
      <c r="T77" s="10">
        <v>0.29799999999999999</v>
      </c>
      <c r="U77" s="10">
        <v>0.86899999999999999</v>
      </c>
      <c r="V77" s="34" t="s">
        <v>161</v>
      </c>
      <c r="W77" s="29"/>
      <c r="X77" s="34"/>
      <c r="Y77" s="34"/>
      <c r="Z77" s="35"/>
      <c r="AA77" s="35"/>
      <c r="AB77" s="35"/>
      <c r="AC77" s="35"/>
      <c r="AD77" s="35"/>
    </row>
    <row r="78" spans="1:31" x14ac:dyDescent="0.2">
      <c r="A78" s="4"/>
      <c r="B78" s="4"/>
      <c r="C78" s="4"/>
      <c r="D78" s="4"/>
      <c r="E78" s="5"/>
      <c r="F78" s="5"/>
      <c r="G78" s="15"/>
      <c r="H78" s="15"/>
      <c r="I78" s="5"/>
      <c r="J78" s="16"/>
      <c r="K78" s="16"/>
      <c r="L78" s="15"/>
      <c r="M78" s="17"/>
      <c r="N78" s="17"/>
      <c r="O78" s="18"/>
      <c r="P78" s="18"/>
      <c r="Q78" s="18"/>
      <c r="R78" s="18"/>
      <c r="S78" s="16"/>
      <c r="T78" s="16"/>
      <c r="U78" s="16"/>
      <c r="V78" s="16"/>
      <c r="W78" s="30">
        <f>COUNT(S75:S77)</f>
        <v>3</v>
      </c>
      <c r="X78" s="36">
        <f>(SUM((S75/(U75^2)),(S76/(U76^2)),(S77/(U77^2))))/(SUM((1/U75^2),(1/U76^2),(1/U77^2)))</f>
        <v>13.558733833934605</v>
      </c>
      <c r="Y78" s="36">
        <f>SQRT(1/(SUM((1/U75^2),(1/U76^2),(1/U77^2))))</f>
        <v>0.52798317718710674</v>
      </c>
      <c r="Z78" s="36">
        <f>MAX(S75:S77)-MIN(S75:S77)</f>
        <v>0.41300000000000026</v>
      </c>
      <c r="AA78" s="36" t="str">
        <f>TEXT(ROUND(MAX(S75:S77),1),"#.0")&amp;"–"&amp;TEXT(ROUND(MIN(S75:S77),1),"#.0")</f>
        <v>13.8–13.4</v>
      </c>
      <c r="AB78" s="36">
        <f>MEDIAN(S75:S77)</f>
        <v>13.467000000000001</v>
      </c>
      <c r="AC78" s="36">
        <f>QUARTILE(S75:S77,3)-QUARTILE(S75:S77,1)</f>
        <v>0.2065000000000019</v>
      </c>
      <c r="AD78" s="36" t="str">
        <f>TEXT(ROUND(QUARTILE(S75:S77,3),1),"#.0")&amp;"–"&amp;TEXT(ROUND(QUARTILE(S75:S77,1),1),"#.0")</f>
        <v>13.6–13.4</v>
      </c>
    </row>
    <row r="79" spans="1:31" x14ac:dyDescent="0.2">
      <c r="A79" s="7" t="s">
        <v>98</v>
      </c>
      <c r="B79" s="22" t="s">
        <v>145</v>
      </c>
      <c r="C79" s="7" t="s">
        <v>99</v>
      </c>
      <c r="D79" s="7" t="s">
        <v>30</v>
      </c>
      <c r="E79" s="8" t="s">
        <v>100</v>
      </c>
      <c r="F79" s="8" t="s">
        <v>101</v>
      </c>
      <c r="G79" s="9">
        <v>56.088099999999997</v>
      </c>
      <c r="H79" s="9">
        <v>-134.19210000000001</v>
      </c>
      <c r="I79" s="8">
        <v>630</v>
      </c>
      <c r="J79" s="10">
        <v>2.5</v>
      </c>
      <c r="K79" s="10">
        <v>2.7</v>
      </c>
      <c r="L79" s="9">
        <v>1</v>
      </c>
      <c r="M79" s="11">
        <v>17.100000000000001</v>
      </c>
      <c r="N79" s="11">
        <v>0.22639999999999999</v>
      </c>
      <c r="O79" s="13">
        <v>1.48</v>
      </c>
      <c r="P79" s="13">
        <v>0.04</v>
      </c>
      <c r="Q79" s="13">
        <v>13.1</v>
      </c>
      <c r="R79" s="13">
        <v>0.36</v>
      </c>
      <c r="S79" s="10">
        <v>16.632999999999999</v>
      </c>
      <c r="T79" s="10">
        <v>0.45400000000000001</v>
      </c>
      <c r="U79" s="10">
        <v>1.085</v>
      </c>
      <c r="V79" s="34" t="s">
        <v>162</v>
      </c>
      <c r="W79" s="29"/>
      <c r="X79" s="38"/>
      <c r="Y79" s="38"/>
      <c r="Z79" s="39"/>
      <c r="AA79" s="39"/>
      <c r="AB79" s="39"/>
      <c r="AC79" s="39"/>
      <c r="AD79" s="39"/>
    </row>
    <row r="80" spans="1:31" x14ac:dyDescent="0.2">
      <c r="A80" s="7" t="s">
        <v>102</v>
      </c>
      <c r="B80" s="22" t="s">
        <v>145</v>
      </c>
      <c r="C80" s="7" t="s">
        <v>99</v>
      </c>
      <c r="D80" s="7" t="s">
        <v>30</v>
      </c>
      <c r="E80" s="8" t="s">
        <v>100</v>
      </c>
      <c r="F80" s="8" t="s">
        <v>32</v>
      </c>
      <c r="G80" s="9">
        <v>56.084499999999998</v>
      </c>
      <c r="H80" s="9">
        <v>-134.18870000000001</v>
      </c>
      <c r="I80" s="8">
        <v>661</v>
      </c>
      <c r="J80" s="10">
        <v>2</v>
      </c>
      <c r="K80" s="10">
        <v>2.7</v>
      </c>
      <c r="L80" s="9">
        <v>1</v>
      </c>
      <c r="M80" s="11">
        <v>19.57</v>
      </c>
      <c r="N80" s="11">
        <v>0.22620000000000001</v>
      </c>
      <c r="O80" s="13">
        <v>1.1499999999999999</v>
      </c>
      <c r="P80" s="13">
        <v>0.04</v>
      </c>
      <c r="Q80" s="13">
        <v>8.84</v>
      </c>
      <c r="R80" s="13">
        <v>0.34</v>
      </c>
      <c r="S80" s="10">
        <v>10.769</v>
      </c>
      <c r="T80" s="10">
        <v>0.40899999999999997</v>
      </c>
      <c r="U80" s="10">
        <v>0.75700000000000001</v>
      </c>
      <c r="V80" s="34" t="s">
        <v>161</v>
      </c>
      <c r="W80" s="29"/>
      <c r="X80" s="38"/>
      <c r="Y80" s="38"/>
      <c r="Z80" s="39"/>
      <c r="AA80" s="39"/>
      <c r="AB80" s="39"/>
      <c r="AC80" s="39"/>
      <c r="AD80" s="39"/>
    </row>
    <row r="81" spans="1:31" x14ac:dyDescent="0.2">
      <c r="A81" s="7" t="s">
        <v>103</v>
      </c>
      <c r="B81" s="22" t="s">
        <v>145</v>
      </c>
      <c r="C81" s="7" t="s">
        <v>99</v>
      </c>
      <c r="D81" s="7" t="s">
        <v>30</v>
      </c>
      <c r="E81" s="8" t="s">
        <v>100</v>
      </c>
      <c r="F81" s="8" t="s">
        <v>32</v>
      </c>
      <c r="G81" s="9">
        <v>56.084800000000001</v>
      </c>
      <c r="H81" s="9">
        <v>-134.18879999999999</v>
      </c>
      <c r="I81" s="8">
        <v>668</v>
      </c>
      <c r="J81" s="10">
        <v>2.5</v>
      </c>
      <c r="K81" s="10">
        <v>2.7</v>
      </c>
      <c r="L81" s="9">
        <v>1</v>
      </c>
      <c r="M81" s="11">
        <v>29.95</v>
      </c>
      <c r="N81" s="11">
        <v>0.22819999999999999</v>
      </c>
      <c r="O81" s="13">
        <v>1.96</v>
      </c>
      <c r="P81" s="13">
        <v>0.06</v>
      </c>
      <c r="Q81" s="13">
        <v>9.99</v>
      </c>
      <c r="R81" s="13">
        <v>0.32</v>
      </c>
      <c r="S81" s="10">
        <v>12.215</v>
      </c>
      <c r="T81" s="10">
        <v>0.39100000000000001</v>
      </c>
      <c r="U81" s="10">
        <v>0.82199999999999995</v>
      </c>
      <c r="V81" s="34" t="s">
        <v>161</v>
      </c>
      <c r="W81" s="29"/>
      <c r="X81" s="38"/>
      <c r="Y81" s="38"/>
      <c r="Z81" s="39"/>
      <c r="AA81" s="39"/>
      <c r="AB81" s="39"/>
      <c r="AC81" s="39"/>
      <c r="AD81" s="39"/>
    </row>
    <row r="82" spans="1:31" x14ac:dyDescent="0.2">
      <c r="A82" s="43"/>
      <c r="B82" s="43"/>
      <c r="C82" s="43"/>
      <c r="D82" s="43"/>
      <c r="E82" s="44"/>
      <c r="F82" s="44"/>
      <c r="G82" s="45"/>
      <c r="H82" s="45"/>
      <c r="I82" s="44"/>
      <c r="J82" s="46"/>
      <c r="K82" s="46"/>
      <c r="L82" s="45"/>
      <c r="M82" s="47"/>
      <c r="N82" s="47"/>
      <c r="O82" s="48"/>
      <c r="P82" s="48"/>
      <c r="Q82" s="48"/>
      <c r="R82" s="48"/>
      <c r="S82" s="46"/>
      <c r="T82" s="50" t="s">
        <v>88</v>
      </c>
      <c r="U82" s="46"/>
      <c r="V82" s="46"/>
      <c r="W82" s="51">
        <f>COUNT(S79:S81)</f>
        <v>3</v>
      </c>
      <c r="X82" s="37">
        <f>(SUM((S79/(U79^2)),(S80/(U80^2)),(S81/(U81^2))))/(SUM((1/U79^2),(1/U80^2),(1/U81^2)))</f>
        <v>12.516767700134718</v>
      </c>
      <c r="Y82" s="37">
        <f>SQRT(1/(SUM((1/U79^2),(1/U80^2),(1/U81^2))))</f>
        <v>0.49540849635412132</v>
      </c>
      <c r="Z82" s="37">
        <f>MAX(S79:S81)-MIN(S79:S81)</f>
        <v>5.863999999999999</v>
      </c>
      <c r="AA82" s="37" t="str">
        <f>TEXT(ROUND(MAX(S79:S81),1),"#.0")&amp;"–"&amp;TEXT(ROUND(MIN(S79:S81),1),"#.0")</f>
        <v>16.6–10.8</v>
      </c>
      <c r="AB82" s="37">
        <f>MEDIAN(S79:S81)</f>
        <v>12.215</v>
      </c>
      <c r="AC82" s="37">
        <f>QUARTILE(S79:S81,3)-QUARTILE(S79:S81,1)</f>
        <v>2.9319999999999986</v>
      </c>
      <c r="AD82" s="37" t="str">
        <f>TEXT(ROUND(QUARTILE(S79:S81,3),1),"#.0")&amp;"–"&amp;TEXT(ROUND(QUARTILE(S79:S81,1),1),"#.0")</f>
        <v>14.4–11.5</v>
      </c>
    </row>
    <row r="83" spans="1:31" x14ac:dyDescent="0.2">
      <c r="A83" s="4"/>
      <c r="B83" s="4"/>
      <c r="C83" s="4"/>
      <c r="D83" s="4"/>
      <c r="E83" s="6"/>
      <c r="F83" s="6"/>
      <c r="G83" s="27"/>
      <c r="H83" s="27"/>
      <c r="I83" s="6"/>
      <c r="J83" s="16"/>
      <c r="K83" s="16"/>
      <c r="L83" s="27"/>
      <c r="M83" s="17"/>
      <c r="N83" s="17"/>
      <c r="O83" s="18"/>
      <c r="P83" s="18"/>
      <c r="Q83" s="18"/>
      <c r="R83" s="18"/>
      <c r="S83" s="16"/>
      <c r="T83" s="59" t="s">
        <v>157</v>
      </c>
      <c r="U83" s="16"/>
      <c r="V83" s="16"/>
      <c r="W83" s="30">
        <f>COUNT(S80:S81)</f>
        <v>2</v>
      </c>
      <c r="X83" s="36">
        <f>(SUM((S80/(U80^2)),(S81/(U81^2))))/(SUM((1/U80^2),(1/U81^2)))</f>
        <v>11.432575683512809</v>
      </c>
      <c r="Y83" s="36">
        <f>SQRT(1/(SUM((1/U80^2),(1/U81^2))))</f>
        <v>0.5568431769783575</v>
      </c>
      <c r="Z83" s="36">
        <f>MAX(S80:S81)-MIN(S80:S81)</f>
        <v>1.4459999999999997</v>
      </c>
      <c r="AA83" s="36" t="str">
        <f>TEXT(ROUND(MAX(S80:S81),1),"#.0")&amp;"–"&amp;TEXT(ROUND(MIN(S80:S81),1),"#.0")</f>
        <v>12.2–10.8</v>
      </c>
      <c r="AB83" s="36">
        <f>MEDIAN(S80:S81)</f>
        <v>11.492000000000001</v>
      </c>
      <c r="AC83" s="36">
        <f>QUARTILE(S80:S81,3)-QUARTILE(S80:S81,1)</f>
        <v>0.72300000000000075</v>
      </c>
      <c r="AD83" s="36" t="str">
        <f>TEXT(ROUND(QUARTILE(S80:S81,3),1),"#.0")&amp;"–"&amp;TEXT(ROUND(QUARTILE(S80:S81,1),1),"#.0")</f>
        <v>11.9–11.1</v>
      </c>
      <c r="AE83" s="72"/>
    </row>
    <row r="84" spans="1:31" x14ac:dyDescent="0.2">
      <c r="A84" s="7" t="s">
        <v>104</v>
      </c>
      <c r="B84" s="22" t="s">
        <v>145</v>
      </c>
      <c r="C84" s="7" t="s">
        <v>105</v>
      </c>
      <c r="D84" s="7" t="s">
        <v>30</v>
      </c>
      <c r="E84" s="8" t="s">
        <v>100</v>
      </c>
      <c r="F84" s="8" t="s">
        <v>101</v>
      </c>
      <c r="G84" s="9">
        <v>55.407400000000003</v>
      </c>
      <c r="H84" s="9">
        <v>-132.96680000000001</v>
      </c>
      <c r="I84" s="8">
        <v>637</v>
      </c>
      <c r="J84" s="10">
        <v>3</v>
      </c>
      <c r="K84" s="10">
        <v>2.7</v>
      </c>
      <c r="L84" s="9">
        <v>1</v>
      </c>
      <c r="M84" s="11">
        <v>11.94</v>
      </c>
      <c r="N84" s="11">
        <v>0.23880000000000001</v>
      </c>
      <c r="O84" s="13">
        <v>0.8</v>
      </c>
      <c r="P84" s="13">
        <v>0.02</v>
      </c>
      <c r="Q84" s="13">
        <v>10.7</v>
      </c>
      <c r="R84" s="13">
        <v>0.32</v>
      </c>
      <c r="S84" s="10">
        <v>13.702</v>
      </c>
      <c r="T84" s="10">
        <v>0.41</v>
      </c>
      <c r="U84" s="10">
        <v>0.90900000000000003</v>
      </c>
      <c r="V84" s="34" t="s">
        <v>161</v>
      </c>
      <c r="W84" s="29"/>
      <c r="X84" s="38"/>
      <c r="Y84" s="38"/>
      <c r="Z84" s="39"/>
      <c r="AA84" s="39"/>
      <c r="AB84" s="39"/>
      <c r="AC84" s="39"/>
      <c r="AD84" s="39"/>
    </row>
    <row r="85" spans="1:31" x14ac:dyDescent="0.2">
      <c r="A85" s="4"/>
      <c r="B85" s="4"/>
      <c r="C85" s="4"/>
      <c r="D85" s="4"/>
      <c r="E85" s="5"/>
      <c r="F85" s="5"/>
      <c r="G85" s="15"/>
      <c r="H85" s="15"/>
      <c r="I85" s="5"/>
      <c r="J85" s="16"/>
      <c r="K85" s="16"/>
      <c r="L85" s="15"/>
      <c r="M85" s="17"/>
      <c r="N85" s="17"/>
      <c r="O85" s="18"/>
      <c r="P85" s="18"/>
      <c r="Q85" s="18"/>
      <c r="R85" s="18"/>
      <c r="S85" s="16"/>
      <c r="T85" s="16"/>
      <c r="U85" s="16"/>
      <c r="V85" s="16"/>
      <c r="W85" s="30">
        <f>COUNT(S84)</f>
        <v>1</v>
      </c>
      <c r="X85" s="36"/>
      <c r="Y85" s="36"/>
      <c r="Z85" s="33"/>
      <c r="AA85" s="33"/>
      <c r="AB85" s="33"/>
      <c r="AC85" s="33"/>
      <c r="AD85" s="33"/>
    </row>
    <row r="86" spans="1:31" x14ac:dyDescent="0.2">
      <c r="A86" s="7" t="s">
        <v>106</v>
      </c>
      <c r="B86" s="22" t="s">
        <v>145</v>
      </c>
      <c r="C86" s="7" t="s">
        <v>107</v>
      </c>
      <c r="D86" s="7" t="s">
        <v>30</v>
      </c>
      <c r="E86" s="8" t="s">
        <v>100</v>
      </c>
      <c r="F86" s="8" t="s">
        <v>101</v>
      </c>
      <c r="G86" s="9">
        <v>55.088099999999997</v>
      </c>
      <c r="H86" s="9">
        <v>-132.7576</v>
      </c>
      <c r="I86" s="8">
        <v>593</v>
      </c>
      <c r="J86" s="10">
        <v>2.5</v>
      </c>
      <c r="K86" s="10">
        <v>2.7</v>
      </c>
      <c r="L86" s="9">
        <v>1</v>
      </c>
      <c r="M86" s="11">
        <v>8.8699999999999992</v>
      </c>
      <c r="N86" s="11">
        <v>0.23069999999999999</v>
      </c>
      <c r="O86" s="13">
        <v>0.65</v>
      </c>
      <c r="P86" s="13">
        <v>0.02</v>
      </c>
      <c r="Q86" s="13">
        <v>11.4</v>
      </c>
      <c r="R86" s="13">
        <v>0.3</v>
      </c>
      <c r="S86" s="10">
        <v>15.157999999999999</v>
      </c>
      <c r="T86" s="10">
        <v>0.40400000000000003</v>
      </c>
      <c r="U86" s="10">
        <v>0.98499999999999999</v>
      </c>
      <c r="V86" s="34" t="s">
        <v>161</v>
      </c>
      <c r="W86" s="29"/>
      <c r="X86" s="38"/>
      <c r="Y86" s="38"/>
      <c r="Z86" s="39"/>
      <c r="AA86" s="39"/>
      <c r="AB86" s="39"/>
      <c r="AC86" s="39"/>
      <c r="AD86" s="39"/>
    </row>
    <row r="87" spans="1:31" x14ac:dyDescent="0.2">
      <c r="A87" s="7" t="s">
        <v>108</v>
      </c>
      <c r="B87" s="22" t="s">
        <v>145</v>
      </c>
      <c r="C87" s="7" t="s">
        <v>107</v>
      </c>
      <c r="D87" s="7" t="s">
        <v>30</v>
      </c>
      <c r="E87" s="8" t="s">
        <v>100</v>
      </c>
      <c r="F87" s="8" t="s">
        <v>101</v>
      </c>
      <c r="G87" s="9">
        <v>55.101500000000001</v>
      </c>
      <c r="H87" s="9">
        <v>-132.75960000000001</v>
      </c>
      <c r="I87" s="8">
        <v>594</v>
      </c>
      <c r="J87" s="10">
        <v>2.5</v>
      </c>
      <c r="K87" s="10">
        <v>2.7</v>
      </c>
      <c r="L87" s="9">
        <v>1</v>
      </c>
      <c r="M87" s="11">
        <v>11.19</v>
      </c>
      <c r="N87" s="11">
        <v>0.23269999999999999</v>
      </c>
      <c r="O87" s="13">
        <v>0.87</v>
      </c>
      <c r="P87" s="13">
        <v>0.02</v>
      </c>
      <c r="Q87" s="13">
        <v>12.1</v>
      </c>
      <c r="R87" s="13">
        <v>0.3</v>
      </c>
      <c r="S87" s="10">
        <v>16.059999999999999</v>
      </c>
      <c r="T87" s="10">
        <v>0.39300000000000002</v>
      </c>
      <c r="U87" s="10">
        <v>1.0289999999999999</v>
      </c>
      <c r="V87" s="34" t="s">
        <v>161</v>
      </c>
      <c r="W87" s="29"/>
      <c r="X87" s="38"/>
      <c r="Y87" s="38"/>
      <c r="Z87" s="39"/>
      <c r="AA87" s="39"/>
      <c r="AB87" s="39"/>
      <c r="AC87" s="39"/>
      <c r="AD87" s="39"/>
    </row>
    <row r="88" spans="1:31" x14ac:dyDescent="0.2">
      <c r="A88" s="7" t="s">
        <v>109</v>
      </c>
      <c r="B88" s="22" t="s">
        <v>145</v>
      </c>
      <c r="C88" s="7" t="s">
        <v>107</v>
      </c>
      <c r="D88" s="7" t="s">
        <v>30</v>
      </c>
      <c r="E88" s="8" t="s">
        <v>100</v>
      </c>
      <c r="F88" s="8" t="s">
        <v>101</v>
      </c>
      <c r="G88" s="9">
        <v>55.1023</v>
      </c>
      <c r="H88" s="9">
        <v>-132.75800000000001</v>
      </c>
      <c r="I88" s="8">
        <v>596</v>
      </c>
      <c r="J88" s="10">
        <v>2.8</v>
      </c>
      <c r="K88" s="10">
        <v>2.7</v>
      </c>
      <c r="L88" s="9">
        <v>1</v>
      </c>
      <c r="M88" s="11">
        <v>10.69</v>
      </c>
      <c r="N88" s="11">
        <v>0.22689999999999999</v>
      </c>
      <c r="O88" s="13">
        <v>0.85</v>
      </c>
      <c r="P88" s="13">
        <v>0.02</v>
      </c>
      <c r="Q88" s="13">
        <v>12.1</v>
      </c>
      <c r="R88" s="13">
        <v>0.27</v>
      </c>
      <c r="S88" s="10">
        <v>16.071000000000002</v>
      </c>
      <c r="T88" s="10">
        <v>0.35599999999999998</v>
      </c>
      <c r="U88" s="10">
        <v>1.016</v>
      </c>
      <c r="V88" s="34" t="s">
        <v>161</v>
      </c>
      <c r="W88" s="29"/>
      <c r="X88" s="38"/>
      <c r="Y88" s="38"/>
      <c r="Z88" s="39"/>
      <c r="AA88" s="39"/>
      <c r="AB88" s="39"/>
      <c r="AC88" s="39"/>
      <c r="AD88" s="39"/>
    </row>
    <row r="89" spans="1:31" x14ac:dyDescent="0.2">
      <c r="A89" s="4"/>
      <c r="B89" s="4"/>
      <c r="C89" s="4"/>
      <c r="D89" s="4"/>
      <c r="E89" s="5"/>
      <c r="F89" s="5"/>
      <c r="G89" s="27"/>
      <c r="H89" s="15"/>
      <c r="I89" s="5"/>
      <c r="J89" s="16"/>
      <c r="K89" s="16"/>
      <c r="L89" s="15"/>
      <c r="M89" s="17"/>
      <c r="N89" s="17"/>
      <c r="O89" s="18"/>
      <c r="P89" s="18"/>
      <c r="Q89" s="18"/>
      <c r="R89" s="18"/>
      <c r="S89" s="16"/>
      <c r="T89" s="16"/>
      <c r="U89" s="16"/>
      <c r="V89" s="16"/>
      <c r="W89" s="30">
        <f>COUNT(S86:S88)</f>
        <v>3</v>
      </c>
      <c r="X89" s="36">
        <f>(SUM((S86/(U86^2)),(S87/(U87^2)),(S88/(U88^2))))/(SUM((1/U86^2),(1/U87^2),(1/U88^2)))</f>
        <v>15.747817353823322</v>
      </c>
      <c r="Y89" s="36">
        <f>SQRT(1/(SUM((1/U86^2),(1/U87^2),(1/U88^2))))</f>
        <v>0.58282841733471391</v>
      </c>
      <c r="Z89" s="36">
        <f>MAX(S86:S88)-MIN(S86:S88)</f>
        <v>0.91300000000000203</v>
      </c>
      <c r="AA89" s="36" t="str">
        <f>TEXT(ROUND(MAX(S86:S88),1),"#.0")&amp;"–"&amp;TEXT(ROUND(MIN(S86:S88),1),"#.0")</f>
        <v>16.1–15.2</v>
      </c>
      <c r="AB89" s="36">
        <f>MEDIAN(S86:S88)</f>
        <v>16.059999999999999</v>
      </c>
      <c r="AC89" s="36">
        <f>QUARTILE(S86:S88,3)-QUARTILE(S86:S88,1)</f>
        <v>0.4565000000000019</v>
      </c>
      <c r="AD89" s="36" t="str">
        <f>TEXT(ROUND(QUARTILE(S86:S88,3),1),"#.0")&amp;"–"&amp;TEXT(ROUND(QUARTILE(S86:S88,1),1),"#.0")</f>
        <v>16.1–15.6</v>
      </c>
    </row>
    <row r="90" spans="1:31" x14ac:dyDescent="0.2">
      <c r="A90" s="7" t="s">
        <v>110</v>
      </c>
      <c r="B90" s="22" t="s">
        <v>145</v>
      </c>
      <c r="C90" s="7" t="s">
        <v>111</v>
      </c>
      <c r="D90" s="7" t="s">
        <v>30</v>
      </c>
      <c r="E90" s="8" t="s">
        <v>100</v>
      </c>
      <c r="F90" s="8" t="s">
        <v>101</v>
      </c>
      <c r="G90" s="9">
        <v>56.242400000000004</v>
      </c>
      <c r="H90" s="9">
        <v>-133.49870000000001</v>
      </c>
      <c r="I90" s="8">
        <v>913</v>
      </c>
      <c r="J90" s="10">
        <v>2.4</v>
      </c>
      <c r="K90" s="10">
        <v>2.7</v>
      </c>
      <c r="L90" s="9">
        <v>1</v>
      </c>
      <c r="M90" s="11">
        <v>20.23</v>
      </c>
      <c r="N90" s="11">
        <v>0.2258</v>
      </c>
      <c r="O90" s="13">
        <v>1.58</v>
      </c>
      <c r="P90" s="13">
        <v>0.04</v>
      </c>
      <c r="Q90" s="13">
        <v>11.8</v>
      </c>
      <c r="R90" s="13">
        <v>0.28999999999999998</v>
      </c>
      <c r="S90" s="10">
        <v>11.55</v>
      </c>
      <c r="T90" s="10">
        <v>0.28699999999999998</v>
      </c>
      <c r="U90" s="10">
        <v>0.74099999999999999</v>
      </c>
      <c r="V90" s="34" t="s">
        <v>161</v>
      </c>
      <c r="W90" s="29"/>
      <c r="X90" s="38"/>
      <c r="Y90" s="38"/>
      <c r="Z90" s="39"/>
      <c r="AA90" s="39"/>
      <c r="AB90" s="39"/>
      <c r="AC90" s="39"/>
      <c r="AD90" s="39"/>
    </row>
    <row r="91" spans="1:31" x14ac:dyDescent="0.2">
      <c r="A91" s="7" t="s">
        <v>112</v>
      </c>
      <c r="B91" s="22" t="s">
        <v>145</v>
      </c>
      <c r="C91" s="7" t="s">
        <v>111</v>
      </c>
      <c r="D91" s="7" t="s">
        <v>30</v>
      </c>
      <c r="E91" s="8" t="s">
        <v>100</v>
      </c>
      <c r="F91" s="8" t="s">
        <v>101</v>
      </c>
      <c r="G91" s="9">
        <v>56.213500000000003</v>
      </c>
      <c r="H91" s="9">
        <v>-133.4331</v>
      </c>
      <c r="I91" s="8">
        <v>584</v>
      </c>
      <c r="J91" s="10">
        <v>4</v>
      </c>
      <c r="K91" s="10">
        <v>2.7</v>
      </c>
      <c r="L91" s="9">
        <v>1</v>
      </c>
      <c r="M91" s="11">
        <v>18.03</v>
      </c>
      <c r="N91" s="11">
        <v>0.22600000000000001</v>
      </c>
      <c r="O91" s="13">
        <v>1.25</v>
      </c>
      <c r="P91" s="13">
        <v>0.02</v>
      </c>
      <c r="Q91" s="13">
        <v>10.5</v>
      </c>
      <c r="R91" s="13">
        <v>0.2</v>
      </c>
      <c r="S91" s="10">
        <v>14.14</v>
      </c>
      <c r="T91" s="10">
        <v>0.27300000000000002</v>
      </c>
      <c r="U91" s="10">
        <v>0.88100000000000001</v>
      </c>
      <c r="V91" s="34" t="s">
        <v>161</v>
      </c>
      <c r="W91" s="29"/>
      <c r="X91" s="38"/>
      <c r="Y91" s="38"/>
      <c r="Z91" s="39"/>
      <c r="AA91" s="39"/>
      <c r="AB91" s="39"/>
      <c r="AC91" s="39"/>
      <c r="AD91" s="39"/>
    </row>
    <row r="92" spans="1:31" x14ac:dyDescent="0.2">
      <c r="A92" s="4"/>
      <c r="B92" s="4"/>
      <c r="C92" s="4"/>
      <c r="D92" s="4"/>
      <c r="E92" s="5"/>
      <c r="F92" s="5"/>
      <c r="G92" s="15"/>
      <c r="H92" s="15"/>
      <c r="I92" s="5"/>
      <c r="J92" s="16"/>
      <c r="K92" s="16"/>
      <c r="L92" s="15"/>
      <c r="M92" s="17"/>
      <c r="N92" s="17"/>
      <c r="O92" s="18"/>
      <c r="P92" s="18"/>
      <c r="Q92" s="18"/>
      <c r="R92" s="18"/>
      <c r="S92" s="16"/>
      <c r="T92" s="20"/>
      <c r="U92" s="16"/>
      <c r="V92" s="16"/>
      <c r="W92" s="30">
        <f>COUNT(S90:S91)</f>
        <v>2</v>
      </c>
      <c r="X92" s="36">
        <f>(SUM((S90/(U90^2)),(S91/(U91^2))))/(SUM((1/U90^2),(1/U91^2)))</f>
        <v>12.623101961754911</v>
      </c>
      <c r="Y92" s="36">
        <f>SQRT(1/(SUM(,(1/U90^2),(1/U91^2))))</f>
        <v>0.56708285971529537</v>
      </c>
      <c r="Z92" s="36">
        <f>MAX(S90:S91)-MIN(S90:S91)</f>
        <v>2.59</v>
      </c>
      <c r="AA92" s="36" t="str">
        <f>TEXT(ROUND(MAX(S90:S91),1),"#.0")&amp;"–"&amp;TEXT(ROUND(MIN(S90:S91),1),"#.0")</f>
        <v>14.1–11.6</v>
      </c>
      <c r="AB92" s="36">
        <f>MEDIAN(S90:S91)</f>
        <v>12.845000000000001</v>
      </c>
      <c r="AC92" s="36">
        <f>QUARTILE(S90:S91,3)-QUARTILE(S90:S91,1)</f>
        <v>1.2949999999999982</v>
      </c>
      <c r="AD92" s="36" t="str">
        <f>TEXT(ROUND(QUARTILE(S90:S91,3),1),"#.0")&amp;"–"&amp;TEXT(ROUND(QUARTILE(S90:S91,1),1),"#.0")</f>
        <v>13.5–12.2</v>
      </c>
    </row>
    <row r="93" spans="1:31" x14ac:dyDescent="0.2">
      <c r="A93" s="7" t="s">
        <v>113</v>
      </c>
      <c r="B93" s="22" t="s">
        <v>145</v>
      </c>
      <c r="C93" s="7" t="s">
        <v>114</v>
      </c>
      <c r="D93" s="7" t="s">
        <v>30</v>
      </c>
      <c r="E93" s="8" t="s">
        <v>100</v>
      </c>
      <c r="F93" s="8" t="s">
        <v>101</v>
      </c>
      <c r="G93" s="9">
        <v>56.291400000000003</v>
      </c>
      <c r="H93" s="9">
        <v>-132.69999999999999</v>
      </c>
      <c r="I93" s="8">
        <v>713</v>
      </c>
      <c r="J93" s="10">
        <v>3</v>
      </c>
      <c r="K93" s="10">
        <v>2.7</v>
      </c>
      <c r="L93" s="9">
        <v>1</v>
      </c>
      <c r="M93" s="11">
        <v>16.07</v>
      </c>
      <c r="N93" s="11">
        <v>0.22670000000000001</v>
      </c>
      <c r="O93" s="13">
        <v>1.31</v>
      </c>
      <c r="P93" s="13">
        <v>0.03</v>
      </c>
      <c r="Q93" s="13">
        <v>12.3</v>
      </c>
      <c r="R93" s="13">
        <v>0.27</v>
      </c>
      <c r="S93" s="10">
        <v>14.647</v>
      </c>
      <c r="T93" s="10">
        <v>0.31900000000000001</v>
      </c>
      <c r="U93" s="10">
        <v>0.92400000000000004</v>
      </c>
      <c r="V93" s="34" t="s">
        <v>161</v>
      </c>
      <c r="W93" s="29"/>
      <c r="X93" s="38"/>
      <c r="Y93" s="38"/>
      <c r="Z93" s="39"/>
      <c r="AA93" s="39"/>
      <c r="AB93" s="39"/>
      <c r="AC93" s="39"/>
      <c r="AD93" s="39"/>
    </row>
    <row r="94" spans="1:31" x14ac:dyDescent="0.2">
      <c r="A94" s="7" t="s">
        <v>115</v>
      </c>
      <c r="B94" s="22" t="s">
        <v>145</v>
      </c>
      <c r="C94" s="7" t="s">
        <v>114</v>
      </c>
      <c r="D94" s="7" t="s">
        <v>41</v>
      </c>
      <c r="E94" s="8" t="s">
        <v>100</v>
      </c>
      <c r="F94" s="8" t="s">
        <v>101</v>
      </c>
      <c r="G94" s="9">
        <v>56.291499999999999</v>
      </c>
      <c r="H94" s="9">
        <v>-132.69990000000001</v>
      </c>
      <c r="I94" s="8">
        <v>714</v>
      </c>
      <c r="J94" s="10">
        <v>2.5</v>
      </c>
      <c r="K94" s="10">
        <v>2.7</v>
      </c>
      <c r="L94" s="9">
        <v>1</v>
      </c>
      <c r="M94" s="11">
        <v>19.989999999999998</v>
      </c>
      <c r="N94" s="11">
        <v>0.2346</v>
      </c>
      <c r="O94" s="13">
        <v>1.54</v>
      </c>
      <c r="P94" s="13">
        <v>0.03</v>
      </c>
      <c r="Q94" s="13">
        <v>12.1</v>
      </c>
      <c r="R94" s="13">
        <v>0.23</v>
      </c>
      <c r="S94" s="10">
        <v>14.34</v>
      </c>
      <c r="T94" s="10">
        <v>0.27100000000000002</v>
      </c>
      <c r="U94" s="10">
        <v>0.89100000000000001</v>
      </c>
      <c r="V94" s="34" t="s">
        <v>161</v>
      </c>
      <c r="W94" s="29"/>
      <c r="X94" s="38"/>
      <c r="Y94" s="38"/>
      <c r="Z94" s="39"/>
      <c r="AA94" s="39"/>
      <c r="AB94" s="39"/>
      <c r="AC94" s="39"/>
      <c r="AD94" s="39"/>
    </row>
    <row r="95" spans="1:31" x14ac:dyDescent="0.2">
      <c r="A95" s="7" t="s">
        <v>116</v>
      </c>
      <c r="B95" s="22" t="s">
        <v>145</v>
      </c>
      <c r="C95" s="7" t="s">
        <v>114</v>
      </c>
      <c r="D95" s="7" t="s">
        <v>30</v>
      </c>
      <c r="E95" s="8" t="s">
        <v>100</v>
      </c>
      <c r="F95" s="8" t="s">
        <v>101</v>
      </c>
      <c r="G95" s="9">
        <v>56.290999999999997</v>
      </c>
      <c r="H95" s="9">
        <v>-132.69890000000001</v>
      </c>
      <c r="I95" s="8">
        <v>722</v>
      </c>
      <c r="J95" s="10">
        <v>3</v>
      </c>
      <c r="K95" s="10">
        <v>2.7</v>
      </c>
      <c r="L95" s="9">
        <v>1</v>
      </c>
      <c r="M95" s="11">
        <v>15.11</v>
      </c>
      <c r="N95" s="11">
        <v>0.2268</v>
      </c>
      <c r="O95" s="13">
        <v>0.91</v>
      </c>
      <c r="P95" s="13">
        <v>0.02</v>
      </c>
      <c r="Q95" s="13">
        <v>9.15</v>
      </c>
      <c r="R95" s="13">
        <v>0.22</v>
      </c>
      <c r="S95" s="10">
        <v>10.686999999999999</v>
      </c>
      <c r="T95" s="10">
        <v>0.25900000000000001</v>
      </c>
      <c r="U95" s="10">
        <v>0.68300000000000005</v>
      </c>
      <c r="V95" s="34" t="s">
        <v>162</v>
      </c>
      <c r="W95" s="29"/>
      <c r="X95" s="38"/>
      <c r="Y95" s="38"/>
      <c r="Z95" s="39"/>
      <c r="AA95" s="39"/>
      <c r="AB95" s="39"/>
      <c r="AC95" s="39"/>
      <c r="AD95" s="39"/>
    </row>
    <row r="96" spans="1:31" x14ac:dyDescent="0.2">
      <c r="A96" s="7" t="s">
        <v>117</v>
      </c>
      <c r="B96" s="22" t="s">
        <v>145</v>
      </c>
      <c r="C96" s="7" t="s">
        <v>114</v>
      </c>
      <c r="D96" s="7" t="s">
        <v>41</v>
      </c>
      <c r="E96" s="8" t="s">
        <v>100</v>
      </c>
      <c r="F96" s="8" t="s">
        <v>32</v>
      </c>
      <c r="G96" s="9">
        <v>56.290500000000002</v>
      </c>
      <c r="H96" s="9">
        <v>-132.69909999999999</v>
      </c>
      <c r="I96" s="8">
        <v>734</v>
      </c>
      <c r="J96" s="10">
        <v>3</v>
      </c>
      <c r="K96" s="10">
        <v>2.7</v>
      </c>
      <c r="L96" s="9">
        <v>1</v>
      </c>
      <c r="M96" s="11">
        <v>37.17</v>
      </c>
      <c r="N96" s="11">
        <v>0.2266</v>
      </c>
      <c r="O96" s="13">
        <v>2.2400000000000002</v>
      </c>
      <c r="P96" s="13">
        <v>0.06</v>
      </c>
      <c r="Q96" s="13">
        <v>9.14</v>
      </c>
      <c r="R96" s="13">
        <v>0.25</v>
      </c>
      <c r="S96" s="10">
        <v>10.557</v>
      </c>
      <c r="T96" s="10">
        <v>0.29099999999999998</v>
      </c>
      <c r="U96" s="10">
        <v>0.68899999999999995</v>
      </c>
      <c r="V96" s="34" t="s">
        <v>162</v>
      </c>
      <c r="W96" s="29"/>
      <c r="X96" s="38"/>
      <c r="Y96" s="38"/>
      <c r="Z96" s="39"/>
      <c r="AA96" s="39"/>
      <c r="AB96" s="39"/>
      <c r="AC96" s="39"/>
      <c r="AD96" s="39"/>
    </row>
    <row r="97" spans="1:31" x14ac:dyDescent="0.2">
      <c r="A97" s="22"/>
      <c r="B97" s="22"/>
      <c r="C97" s="22"/>
      <c r="D97" s="22"/>
      <c r="E97" s="14"/>
      <c r="F97" s="14"/>
      <c r="G97" s="23"/>
      <c r="H97" s="23"/>
      <c r="I97" s="14"/>
      <c r="J97" s="24"/>
      <c r="K97" s="24"/>
      <c r="L97" s="23"/>
      <c r="M97" s="25"/>
      <c r="N97" s="25"/>
      <c r="O97" s="12"/>
      <c r="P97" s="12"/>
      <c r="Q97" s="12"/>
      <c r="R97" s="12"/>
      <c r="S97" s="24"/>
      <c r="T97" s="50" t="s">
        <v>88</v>
      </c>
      <c r="U97" s="24"/>
      <c r="V97" s="24"/>
      <c r="W97" s="29">
        <f>COUNT(S93:S96)</f>
        <v>4</v>
      </c>
      <c r="X97" s="37">
        <f>(SUM((S93/(U93^2)),(S94/(U94^2)),(S95/(U95^2)),(S96/(U96^2))))/(SUM((1/U93^2),(1/U94^2),(1/U95^2),(1/U96^2)))</f>
        <v>12.028972385730142</v>
      </c>
      <c r="Y97" s="37">
        <f>SQRT(1/(SUM((1/U93^2),(1/U94^2),(1/U95^2),(1/U96^2))))</f>
        <v>0.38688046567886264</v>
      </c>
      <c r="Z97" s="34">
        <f>MAX(S93:S96)-MIN(S93:S96)</f>
        <v>4.09</v>
      </c>
      <c r="AA97" s="34" t="str">
        <f>TEXT(ROUND(MAX(S93:S96),1),"#.0")&amp;"–"&amp;TEXT(ROUND(MIN(S93:S96),1),"#.0")</f>
        <v>14.6–10.6</v>
      </c>
      <c r="AB97" s="34">
        <f>MEDIAN(S93:S96)</f>
        <v>12.513500000000001</v>
      </c>
      <c r="AC97" s="34">
        <f>QUARTILE(S93:S96,3)-QUARTILE(S93:S96,1)</f>
        <v>3.7622500000000016</v>
      </c>
      <c r="AD97" s="34" t="str">
        <f>TEXT(ROUND(QUARTILE(S93:S96,3),1),"#.0")&amp;"–"&amp;TEXT(ROUND(QUARTILE(S93:S96,1),1),"#.0")</f>
        <v>14.4–10.7</v>
      </c>
    </row>
    <row r="98" spans="1:31" x14ac:dyDescent="0.2">
      <c r="A98" s="4"/>
      <c r="B98" s="4"/>
      <c r="C98" s="4"/>
      <c r="D98" s="4"/>
      <c r="E98" s="5"/>
      <c r="F98" s="5"/>
      <c r="G98" s="15"/>
      <c r="H98" s="15"/>
      <c r="I98" s="5"/>
      <c r="J98" s="16"/>
      <c r="K98" s="16"/>
      <c r="L98" s="15"/>
      <c r="M98" s="17"/>
      <c r="N98" s="17"/>
      <c r="O98" s="18"/>
      <c r="P98" s="18"/>
      <c r="Q98" s="18"/>
      <c r="R98" s="18"/>
      <c r="S98" s="16"/>
      <c r="T98" s="59" t="s">
        <v>157</v>
      </c>
      <c r="U98" s="16"/>
      <c r="V98" s="16"/>
      <c r="W98" s="30">
        <f>COUNT(S93:S94)</f>
        <v>2</v>
      </c>
      <c r="X98" s="36">
        <f>(SUM((S93/(U93^2)),(S94/(U94^2))))/(SUM((1/U93^2),(1/U94^2)))</f>
        <v>14.487920026437543</v>
      </c>
      <c r="Y98" s="36">
        <f>SQRT(1/(SUM(,(1/U93^2),(1/U94^2))))</f>
        <v>0.64138126721983046</v>
      </c>
      <c r="Z98" s="36">
        <f>MAX(S93:S94)-MIN(S93:S94)</f>
        <v>0.30700000000000038</v>
      </c>
      <c r="AA98" s="36" t="str">
        <f>TEXT(ROUND(MAX(S93:S94),1),"#.0")&amp;"–"&amp;TEXT(ROUND(MIN(S93:S94),1),"#.0")</f>
        <v>14.6–14.3</v>
      </c>
      <c r="AB98" s="36">
        <f>MEDIAN(S93:S94)</f>
        <v>14.493500000000001</v>
      </c>
      <c r="AC98" s="36">
        <f>QUARTILE(S93:S94,3)-QUARTILE(S93:S94,1)</f>
        <v>0.1534999999999993</v>
      </c>
      <c r="AD98" s="36" t="str">
        <f>TEXT(ROUND(QUARTILE(S93:S94,3),1),"#.0")&amp;"–"&amp;TEXT(ROUND(QUARTILE(S93:S94,1),1),"#.0")</f>
        <v>14.6–14.4</v>
      </c>
      <c r="AE98" s="72"/>
    </row>
    <row r="99" spans="1:31" x14ac:dyDescent="0.2">
      <c r="A99" s="7" t="s">
        <v>118</v>
      </c>
      <c r="B99" s="22" t="s">
        <v>145</v>
      </c>
      <c r="C99" s="7" t="s">
        <v>119</v>
      </c>
      <c r="D99" s="7" t="s">
        <v>30</v>
      </c>
      <c r="E99" s="8" t="s">
        <v>100</v>
      </c>
      <c r="F99" s="8" t="s">
        <v>101</v>
      </c>
      <c r="G99" s="9">
        <v>56.0764</v>
      </c>
      <c r="H99" s="9">
        <v>-131.7723</v>
      </c>
      <c r="I99" s="8">
        <v>865</v>
      </c>
      <c r="J99" s="10">
        <v>2</v>
      </c>
      <c r="K99" s="10">
        <v>2.7</v>
      </c>
      <c r="L99" s="9">
        <v>0.99860000000000004</v>
      </c>
      <c r="M99" s="11">
        <v>15.02</v>
      </c>
      <c r="N99" s="11">
        <v>0.22689999999999999</v>
      </c>
      <c r="O99" s="13">
        <v>1.34</v>
      </c>
      <c r="P99" s="13">
        <v>0.04</v>
      </c>
      <c r="Q99" s="13">
        <v>13.5</v>
      </c>
      <c r="R99" s="13">
        <v>0.4</v>
      </c>
      <c r="S99" s="10">
        <v>14.013</v>
      </c>
      <c r="T99" s="10">
        <v>0.41399999999999998</v>
      </c>
      <c r="U99" s="10">
        <v>0.92700000000000005</v>
      </c>
      <c r="V99" s="34" t="s">
        <v>161</v>
      </c>
      <c r="W99" s="29"/>
      <c r="X99" s="38"/>
      <c r="Y99" s="38"/>
      <c r="Z99" s="39"/>
      <c r="AA99" s="39"/>
      <c r="AB99" s="39"/>
      <c r="AC99" s="39"/>
      <c r="AD99" s="39"/>
    </row>
    <row r="100" spans="1:31" x14ac:dyDescent="0.2">
      <c r="A100" s="7" t="s">
        <v>120</v>
      </c>
      <c r="B100" s="22" t="s">
        <v>145</v>
      </c>
      <c r="C100" s="7" t="s">
        <v>119</v>
      </c>
      <c r="D100" s="7" t="s">
        <v>30</v>
      </c>
      <c r="E100" s="8" t="s">
        <v>100</v>
      </c>
      <c r="F100" s="8" t="s">
        <v>101</v>
      </c>
      <c r="G100" s="9">
        <v>56.075600000000001</v>
      </c>
      <c r="H100" s="9">
        <v>-131.7724</v>
      </c>
      <c r="I100" s="8">
        <v>851</v>
      </c>
      <c r="J100" s="10">
        <v>2.5</v>
      </c>
      <c r="K100" s="10">
        <v>2.7</v>
      </c>
      <c r="L100" s="9">
        <v>0.99670000000000003</v>
      </c>
      <c r="M100" s="11">
        <v>15.06</v>
      </c>
      <c r="N100" s="11">
        <v>0.22689999999999999</v>
      </c>
      <c r="O100" s="13">
        <v>1.31</v>
      </c>
      <c r="P100" s="13">
        <v>0.03</v>
      </c>
      <c r="Q100" s="13">
        <v>13.2</v>
      </c>
      <c r="R100" s="13">
        <v>0.3</v>
      </c>
      <c r="S100" s="10">
        <v>13.957000000000001</v>
      </c>
      <c r="T100" s="10">
        <v>0.31900000000000001</v>
      </c>
      <c r="U100" s="10">
        <v>0.88600000000000001</v>
      </c>
      <c r="V100" s="34" t="s">
        <v>161</v>
      </c>
      <c r="W100" s="29"/>
      <c r="X100" s="38"/>
      <c r="Y100" s="38"/>
      <c r="Z100" s="39"/>
      <c r="AA100" s="39"/>
      <c r="AB100" s="39"/>
      <c r="AC100" s="39"/>
      <c r="AD100" s="39"/>
    </row>
    <row r="101" spans="1:31" x14ac:dyDescent="0.2">
      <c r="A101" s="4"/>
      <c r="B101" s="4"/>
      <c r="C101" s="4"/>
      <c r="D101" s="4"/>
      <c r="E101" s="5"/>
      <c r="F101" s="5"/>
      <c r="G101" s="27"/>
      <c r="H101" s="15"/>
      <c r="I101" s="5"/>
      <c r="J101" s="16"/>
      <c r="K101" s="16"/>
      <c r="L101" s="15"/>
      <c r="M101" s="17"/>
      <c r="N101" s="17"/>
      <c r="O101" s="18"/>
      <c r="P101" s="18"/>
      <c r="Q101" s="18"/>
      <c r="R101" s="18"/>
      <c r="S101" s="16"/>
      <c r="T101" s="16"/>
      <c r="U101" s="16"/>
      <c r="V101" s="16"/>
      <c r="W101" s="30">
        <f>COUNT(S99:S100)</f>
        <v>2</v>
      </c>
      <c r="X101" s="36">
        <f>(SUM((S99/(U99^2)),(S100/(U100^2))))/(SUM((1/U99^2),(1/U100^2)))</f>
        <v>13.98373423806121</v>
      </c>
      <c r="Y101" s="36">
        <f>SQRT(1/(SUM(,(1/U99^2),(1/U100^2))))</f>
        <v>0.64050072570079863</v>
      </c>
      <c r="Z101" s="36">
        <f>MAX(S99:S100)-MIN(S99:S100)</f>
        <v>5.5999999999999162E-2</v>
      </c>
      <c r="AA101" s="36" t="str">
        <f>TEXT(ROUND(MAX(S99:S100),1),"#.0")&amp;"–"&amp;TEXT(ROUND(MIN(S99:S100),1),"#.0")</f>
        <v>14.0–14.0</v>
      </c>
      <c r="AB101" s="36">
        <f>MEDIAN(S99:S100)</f>
        <v>13.984999999999999</v>
      </c>
      <c r="AC101" s="36">
        <f>QUARTILE(S99:S100,3)-QUARTILE(S99:S100,1)</f>
        <v>2.8000000000000469E-2</v>
      </c>
      <c r="AD101" s="36" t="str">
        <f>TEXT(ROUND(QUARTILE(S99:S100,3),1),"#.0")&amp;"–"&amp;TEXT(ROUND(QUARTILE(S99:S100,1),1),"#.0")</f>
        <v>14.0–14.0</v>
      </c>
    </row>
    <row r="102" spans="1:31" x14ac:dyDescent="0.2">
      <c r="A102" s="7" t="s">
        <v>121</v>
      </c>
      <c r="B102" s="22" t="s">
        <v>145</v>
      </c>
      <c r="C102" s="7" t="s">
        <v>122</v>
      </c>
      <c r="D102" s="7" t="s">
        <v>30</v>
      </c>
      <c r="E102" s="8" t="s">
        <v>100</v>
      </c>
      <c r="F102" s="8" t="s">
        <v>32</v>
      </c>
      <c r="G102" s="9">
        <v>54.926499999999997</v>
      </c>
      <c r="H102" s="9">
        <v>-131.1585</v>
      </c>
      <c r="I102" s="8">
        <v>581</v>
      </c>
      <c r="J102" s="10">
        <v>3.3</v>
      </c>
      <c r="K102" s="10">
        <v>2.7</v>
      </c>
      <c r="L102" s="9">
        <v>1</v>
      </c>
      <c r="M102" s="11">
        <v>32.880000000000003</v>
      </c>
      <c r="N102" s="11">
        <v>0.22600000000000001</v>
      </c>
      <c r="O102" s="13">
        <v>2.2400000000000002</v>
      </c>
      <c r="P102" s="13">
        <v>0.06</v>
      </c>
      <c r="Q102" s="13">
        <v>10.3</v>
      </c>
      <c r="R102" s="13">
        <v>0.28000000000000003</v>
      </c>
      <c r="S102" s="10">
        <v>14.069000000000001</v>
      </c>
      <c r="T102" s="10">
        <v>0.38700000000000001</v>
      </c>
      <c r="U102" s="10">
        <v>0.91800000000000004</v>
      </c>
      <c r="V102" s="34" t="s">
        <v>161</v>
      </c>
      <c r="W102" s="29"/>
      <c r="X102" s="38"/>
      <c r="Y102" s="38"/>
      <c r="Z102" s="39"/>
      <c r="AA102" s="39"/>
      <c r="AB102" s="39"/>
      <c r="AC102" s="39"/>
      <c r="AD102" s="39"/>
    </row>
    <row r="103" spans="1:31" x14ac:dyDescent="0.2">
      <c r="A103" s="4"/>
      <c r="B103" s="4"/>
      <c r="C103" s="4"/>
      <c r="D103" s="4"/>
      <c r="E103" s="5"/>
      <c r="F103" s="5"/>
      <c r="G103" s="15"/>
      <c r="H103" s="15"/>
      <c r="I103" s="5"/>
      <c r="J103" s="16"/>
      <c r="K103" s="16"/>
      <c r="L103" s="15"/>
      <c r="M103" s="17"/>
      <c r="N103" s="17"/>
      <c r="O103" s="18"/>
      <c r="P103" s="18"/>
      <c r="Q103" s="18"/>
      <c r="R103" s="18"/>
      <c r="S103" s="16"/>
      <c r="T103" s="16"/>
      <c r="U103" s="16"/>
      <c r="V103" s="16"/>
      <c r="W103" s="30">
        <f>COUNT(S102)</f>
        <v>1</v>
      </c>
      <c r="X103" s="36"/>
      <c r="Y103" s="36"/>
      <c r="Z103" s="33"/>
      <c r="AA103" s="33"/>
      <c r="AB103" s="33"/>
      <c r="AC103" s="33"/>
      <c r="AD103" s="33"/>
    </row>
    <row r="104" spans="1:31" x14ac:dyDescent="0.2">
      <c r="A104" s="7" t="s">
        <v>123</v>
      </c>
      <c r="B104" s="22" t="s">
        <v>144</v>
      </c>
      <c r="C104" s="7" t="s">
        <v>124</v>
      </c>
      <c r="D104" s="7" t="s">
        <v>41</v>
      </c>
      <c r="E104" s="8" t="s">
        <v>100</v>
      </c>
      <c r="F104" s="8" t="s">
        <v>101</v>
      </c>
      <c r="G104" s="9">
        <v>54.736499999999999</v>
      </c>
      <c r="H104" s="9">
        <v>-132.86760000000001</v>
      </c>
      <c r="I104" s="8">
        <v>474</v>
      </c>
      <c r="J104" s="10">
        <v>3</v>
      </c>
      <c r="K104" s="10">
        <v>2.7</v>
      </c>
      <c r="L104" s="9">
        <v>0.99990000000000001</v>
      </c>
      <c r="M104" s="11">
        <v>29.052900000000001</v>
      </c>
      <c r="N104" s="11">
        <v>0.22500000000000001</v>
      </c>
      <c r="O104" s="13">
        <v>2.2200000000000002</v>
      </c>
      <c r="P104" s="13">
        <v>0.03</v>
      </c>
      <c r="Q104" s="13">
        <v>11.5</v>
      </c>
      <c r="R104" s="13">
        <v>0.13</v>
      </c>
      <c r="S104" s="10">
        <v>17.132999999999999</v>
      </c>
      <c r="T104" s="10">
        <v>0.19600000000000001</v>
      </c>
      <c r="U104" s="10">
        <v>1.034</v>
      </c>
      <c r="V104" s="34" t="s">
        <v>161</v>
      </c>
      <c r="W104" s="29"/>
      <c r="X104" s="38"/>
      <c r="Y104" s="38"/>
      <c r="Z104" s="39"/>
      <c r="AA104" s="39"/>
      <c r="AB104" s="39"/>
      <c r="AC104" s="39"/>
      <c r="AD104" s="39"/>
    </row>
    <row r="105" spans="1:31" x14ac:dyDescent="0.2">
      <c r="A105" s="7" t="s">
        <v>125</v>
      </c>
      <c r="B105" s="22" t="s">
        <v>144</v>
      </c>
      <c r="C105" s="7" t="s">
        <v>124</v>
      </c>
      <c r="D105" s="7" t="s">
        <v>41</v>
      </c>
      <c r="E105" s="8" t="s">
        <v>100</v>
      </c>
      <c r="F105" s="8" t="s">
        <v>101</v>
      </c>
      <c r="G105" s="9">
        <v>54.7363</v>
      </c>
      <c r="H105" s="9">
        <v>-132.8648</v>
      </c>
      <c r="I105" s="8">
        <v>477</v>
      </c>
      <c r="J105" s="10">
        <v>3</v>
      </c>
      <c r="K105" s="10">
        <v>2.7</v>
      </c>
      <c r="L105" s="9">
        <v>1</v>
      </c>
      <c r="M105" s="11">
        <v>38.943199999999997</v>
      </c>
      <c r="N105" s="11">
        <v>0.22589999999999999</v>
      </c>
      <c r="O105" s="13">
        <v>2.87</v>
      </c>
      <c r="P105" s="13">
        <v>0.05</v>
      </c>
      <c r="Q105" s="13">
        <v>11.1</v>
      </c>
      <c r="R105" s="13">
        <v>0.2</v>
      </c>
      <c r="S105" s="10">
        <v>16.498000000000001</v>
      </c>
      <c r="T105" s="10">
        <v>0.30399999999999999</v>
      </c>
      <c r="U105" s="10">
        <v>1.024</v>
      </c>
      <c r="V105" s="34" t="s">
        <v>161</v>
      </c>
      <c r="W105" s="29"/>
      <c r="X105" s="38"/>
      <c r="Y105" s="38"/>
      <c r="Z105" s="39"/>
      <c r="AA105" s="39"/>
      <c r="AB105" s="39"/>
      <c r="AC105" s="39"/>
      <c r="AD105" s="39"/>
    </row>
    <row r="106" spans="1:31" x14ac:dyDescent="0.2">
      <c r="A106" s="4"/>
      <c r="B106" s="4"/>
      <c r="C106" s="4"/>
      <c r="D106" s="4"/>
      <c r="E106" s="5"/>
      <c r="F106" s="5"/>
      <c r="G106" s="27"/>
      <c r="H106" s="15"/>
      <c r="I106" s="5"/>
      <c r="J106" s="16"/>
      <c r="K106" s="16"/>
      <c r="L106" s="15"/>
      <c r="M106" s="17"/>
      <c r="N106" s="17"/>
      <c r="O106" s="18"/>
      <c r="P106" s="18"/>
      <c r="Q106" s="18"/>
      <c r="R106" s="18"/>
      <c r="S106" s="16"/>
      <c r="T106" s="16"/>
      <c r="U106" s="16"/>
      <c r="V106" s="16"/>
      <c r="W106" s="30">
        <f>COUNT(S104:S105)</f>
        <v>2</v>
      </c>
      <c r="X106" s="36">
        <f>(SUM((S104/(U104^2)),(S105/(U105^2))))/(SUM((1/U104^2),(1/U105^2)))</f>
        <v>16.812414552927375</v>
      </c>
      <c r="Y106" s="36">
        <f>SQRT(1/(SUM(,(1/U104^2),(1/U105^2))))</f>
        <v>0.72758710899830281</v>
      </c>
      <c r="Z106" s="36">
        <f>MAX(S104:S105)-MIN(S104:S105)</f>
        <v>0.63499999999999801</v>
      </c>
      <c r="AA106" s="36" t="str">
        <f>TEXT(ROUND(MAX(S104:S105),1),"#.0")&amp;"–"&amp;TEXT(ROUND(MIN(S104:S105),1),"#.0")</f>
        <v>17.1–16.5</v>
      </c>
      <c r="AB106" s="36">
        <f>MEDIAN(S104:S105)</f>
        <v>16.8155</v>
      </c>
      <c r="AC106" s="36">
        <f>QUARTILE(S104:S105,3)-QUARTILE(S104:S105,1)</f>
        <v>0.31749999999999545</v>
      </c>
      <c r="AD106" s="36" t="str">
        <f>TEXT(ROUND(QUARTILE(S104:S105,3),1),"#.0")&amp;"–"&amp;TEXT(ROUND(QUARTILE(S104:S105,1),1),"#.0")</f>
        <v>17.0–16.7</v>
      </c>
    </row>
    <row r="107" spans="1:31" x14ac:dyDescent="0.2">
      <c r="A107" s="7" t="s">
        <v>126</v>
      </c>
      <c r="B107" s="22" t="s">
        <v>144</v>
      </c>
      <c r="C107" s="7" t="s">
        <v>127</v>
      </c>
      <c r="D107" s="7" t="s">
        <v>30</v>
      </c>
      <c r="E107" s="8" t="s">
        <v>100</v>
      </c>
      <c r="F107" s="8" t="s">
        <v>101</v>
      </c>
      <c r="G107" s="9">
        <v>55.2361</v>
      </c>
      <c r="H107" s="9">
        <v>-133.3038</v>
      </c>
      <c r="I107" s="8">
        <v>583</v>
      </c>
      <c r="J107" s="10">
        <v>4</v>
      </c>
      <c r="K107" s="10">
        <v>2.7</v>
      </c>
      <c r="L107" s="9">
        <v>0.99890000000000001</v>
      </c>
      <c r="M107" s="11">
        <v>20.640599999999999</v>
      </c>
      <c r="N107" s="11">
        <v>0.22470000000000001</v>
      </c>
      <c r="O107" s="13">
        <v>1.6</v>
      </c>
      <c r="P107" s="13">
        <v>0.06</v>
      </c>
      <c r="Q107" s="13">
        <v>11.7</v>
      </c>
      <c r="R107" s="13">
        <v>0.43</v>
      </c>
      <c r="S107" s="10">
        <v>15.853999999999999</v>
      </c>
      <c r="T107" s="10">
        <v>0.59</v>
      </c>
      <c r="U107" s="10">
        <v>1.109</v>
      </c>
      <c r="V107" s="34" t="s">
        <v>161</v>
      </c>
      <c r="W107" s="29"/>
      <c r="X107" s="38"/>
      <c r="Y107" s="38"/>
      <c r="Z107" s="39"/>
      <c r="AA107" s="39"/>
      <c r="AB107" s="39"/>
      <c r="AC107" s="39"/>
      <c r="AD107" s="39"/>
    </row>
    <row r="108" spans="1:31" x14ac:dyDescent="0.2">
      <c r="A108" s="7" t="s">
        <v>128</v>
      </c>
      <c r="B108" s="22" t="s">
        <v>144</v>
      </c>
      <c r="C108" s="7" t="s">
        <v>127</v>
      </c>
      <c r="D108" s="7" t="s">
        <v>30</v>
      </c>
      <c r="E108" s="8" t="s">
        <v>100</v>
      </c>
      <c r="F108" s="8" t="s">
        <v>101</v>
      </c>
      <c r="G108" s="9">
        <v>55.235799999999998</v>
      </c>
      <c r="H108" s="9">
        <v>-133.30369999999999</v>
      </c>
      <c r="I108" s="8">
        <v>586</v>
      </c>
      <c r="J108" s="10">
        <v>3</v>
      </c>
      <c r="K108" s="10">
        <v>2.7</v>
      </c>
      <c r="L108" s="9">
        <v>0.99509999999999998</v>
      </c>
      <c r="M108" s="11">
        <v>19.2883</v>
      </c>
      <c r="N108" s="11">
        <v>0.2266</v>
      </c>
      <c r="O108" s="13">
        <v>1.5</v>
      </c>
      <c r="P108" s="13">
        <v>0.03</v>
      </c>
      <c r="Q108" s="13">
        <v>11.8</v>
      </c>
      <c r="R108" s="13">
        <v>0.23</v>
      </c>
      <c r="S108" s="10">
        <v>15.875</v>
      </c>
      <c r="T108" s="10">
        <v>0.315</v>
      </c>
      <c r="U108" s="10">
        <v>0.99199999999999999</v>
      </c>
      <c r="V108" s="34" t="s">
        <v>161</v>
      </c>
      <c r="W108" s="29"/>
      <c r="X108" s="38"/>
      <c r="Y108" s="38"/>
      <c r="Z108" s="39"/>
      <c r="AA108" s="39"/>
      <c r="AB108" s="39"/>
      <c r="AC108" s="39"/>
      <c r="AD108" s="39"/>
    </row>
    <row r="109" spans="1:31" x14ac:dyDescent="0.2">
      <c r="A109" s="7" t="s">
        <v>129</v>
      </c>
      <c r="B109" s="22" t="s">
        <v>144</v>
      </c>
      <c r="C109" s="7" t="s">
        <v>127</v>
      </c>
      <c r="D109" s="7" t="s">
        <v>30</v>
      </c>
      <c r="E109" s="8" t="s">
        <v>100</v>
      </c>
      <c r="F109" s="8" t="s">
        <v>101</v>
      </c>
      <c r="G109" s="9">
        <v>55.235599999999998</v>
      </c>
      <c r="H109" s="9">
        <v>-133.30410000000001</v>
      </c>
      <c r="I109" s="8">
        <v>588</v>
      </c>
      <c r="J109" s="10">
        <v>1</v>
      </c>
      <c r="K109" s="10">
        <v>2.7</v>
      </c>
      <c r="L109" s="9">
        <v>0.99809999999999999</v>
      </c>
      <c r="M109" s="11">
        <v>25.0806</v>
      </c>
      <c r="N109" s="11">
        <v>0.22509999999999999</v>
      </c>
      <c r="O109" s="13">
        <v>2</v>
      </c>
      <c r="P109" s="13">
        <v>0.04</v>
      </c>
      <c r="Q109" s="13">
        <v>12</v>
      </c>
      <c r="R109" s="13">
        <v>0.23</v>
      </c>
      <c r="S109" s="10">
        <v>15.803000000000001</v>
      </c>
      <c r="T109" s="10">
        <v>0.30299999999999999</v>
      </c>
      <c r="U109" s="10">
        <v>0.98399999999999999</v>
      </c>
      <c r="V109" s="34" t="s">
        <v>161</v>
      </c>
      <c r="W109" s="29"/>
      <c r="X109" s="38"/>
      <c r="Y109" s="38"/>
      <c r="Z109" s="39"/>
      <c r="AA109" s="39"/>
      <c r="AB109" s="39"/>
      <c r="AC109" s="39"/>
      <c r="AD109" s="39"/>
    </row>
    <row r="110" spans="1:31" x14ac:dyDescent="0.2">
      <c r="A110" s="7" t="s">
        <v>130</v>
      </c>
      <c r="B110" s="22" t="s">
        <v>144</v>
      </c>
      <c r="C110" s="7" t="s">
        <v>127</v>
      </c>
      <c r="D110" s="7" t="s">
        <v>41</v>
      </c>
      <c r="E110" s="8" t="s">
        <v>100</v>
      </c>
      <c r="F110" s="8" t="s">
        <v>101</v>
      </c>
      <c r="G110" s="9">
        <v>55.235700000000001</v>
      </c>
      <c r="H110" s="9">
        <v>-133.304</v>
      </c>
      <c r="I110" s="8">
        <v>590</v>
      </c>
      <c r="J110" s="10">
        <v>3</v>
      </c>
      <c r="K110" s="10">
        <v>2.7</v>
      </c>
      <c r="L110" s="9">
        <v>0.99929999999999997</v>
      </c>
      <c r="M110" s="11">
        <v>20.236999999999998</v>
      </c>
      <c r="N110" s="11">
        <v>0.22620000000000001</v>
      </c>
      <c r="O110" s="13">
        <v>1.72</v>
      </c>
      <c r="P110" s="13">
        <v>0.04</v>
      </c>
      <c r="Q110" s="13">
        <v>12.8</v>
      </c>
      <c r="R110" s="13">
        <v>0.33</v>
      </c>
      <c r="S110" s="10">
        <v>17.071000000000002</v>
      </c>
      <c r="T110" s="10">
        <v>0.44700000000000001</v>
      </c>
      <c r="U110" s="10">
        <v>1.1060000000000001</v>
      </c>
      <c r="V110" s="34" t="s">
        <v>162</v>
      </c>
      <c r="W110" s="29"/>
      <c r="X110" s="38"/>
      <c r="Y110" s="38"/>
      <c r="Z110" s="39"/>
      <c r="AA110" s="39"/>
      <c r="AB110" s="39"/>
      <c r="AC110" s="39"/>
      <c r="AD110" s="39"/>
    </row>
    <row r="111" spans="1:31" x14ac:dyDescent="0.2">
      <c r="A111" s="7" t="s">
        <v>131</v>
      </c>
      <c r="B111" s="22" t="s">
        <v>144</v>
      </c>
      <c r="C111" s="7" t="s">
        <v>127</v>
      </c>
      <c r="D111" s="7" t="s">
        <v>41</v>
      </c>
      <c r="E111" s="8" t="s">
        <v>100</v>
      </c>
      <c r="F111" s="8" t="s">
        <v>101</v>
      </c>
      <c r="G111" s="9">
        <v>55.235599999999998</v>
      </c>
      <c r="H111" s="9">
        <v>-133.30410000000001</v>
      </c>
      <c r="I111" s="8">
        <v>589</v>
      </c>
      <c r="J111" s="10">
        <v>2</v>
      </c>
      <c r="K111" s="10">
        <v>2.7</v>
      </c>
      <c r="L111" s="9">
        <v>0.99109999999999998</v>
      </c>
      <c r="M111" s="11">
        <v>15.0755</v>
      </c>
      <c r="N111" s="11">
        <v>0.2283</v>
      </c>
      <c r="O111" s="13">
        <v>1.1100000000000001</v>
      </c>
      <c r="P111" s="13">
        <v>0.02</v>
      </c>
      <c r="Q111" s="13">
        <v>11.3</v>
      </c>
      <c r="R111" s="13">
        <v>0.23</v>
      </c>
      <c r="S111" s="10">
        <v>15.108000000000001</v>
      </c>
      <c r="T111" s="10">
        <v>0.30499999999999999</v>
      </c>
      <c r="U111" s="10">
        <v>0.94499999999999995</v>
      </c>
      <c r="V111" s="34" t="s">
        <v>161</v>
      </c>
      <c r="W111" s="29"/>
      <c r="X111" s="38"/>
      <c r="Y111" s="38"/>
      <c r="Z111" s="39"/>
      <c r="AA111" s="39"/>
      <c r="AB111" s="39"/>
      <c r="AC111" s="39"/>
      <c r="AD111" s="39"/>
    </row>
    <row r="112" spans="1:31" x14ac:dyDescent="0.2">
      <c r="A112" s="43"/>
      <c r="B112" s="43"/>
      <c r="C112" s="43"/>
      <c r="D112" s="43"/>
      <c r="E112" s="44"/>
      <c r="F112" s="44"/>
      <c r="G112" s="45"/>
      <c r="H112" s="45"/>
      <c r="I112" s="44"/>
      <c r="J112" s="46"/>
      <c r="K112" s="46"/>
      <c r="L112" s="45"/>
      <c r="M112" s="47"/>
      <c r="N112" s="47"/>
      <c r="O112" s="48"/>
      <c r="P112" s="48"/>
      <c r="Q112" s="48"/>
      <c r="R112" s="48"/>
      <c r="S112" s="46"/>
      <c r="T112" s="50" t="s">
        <v>88</v>
      </c>
      <c r="U112" s="46"/>
      <c r="V112" s="46"/>
      <c r="W112" s="51">
        <f>COUNT(S107:S111)</f>
        <v>5</v>
      </c>
      <c r="X112" s="37">
        <f>(SUM((S107/(U107^2)),(S108/(U108^2)),(S109/(U109^2)),(S110/(U110^2)),(S111/(U111^2))))/(SUM((1/U107^2),(1/U108^2),(1/U109^2),(1/U110^2),(1/U111^2)))</f>
        <v>15.880713391347047</v>
      </c>
      <c r="Y112" s="37">
        <f>SQRT(1/(SUM((1/U107^2),(1/U108^2),(1/U109^2),(1/U110^2),(1/U111^2))))</f>
        <v>0.45646595387439098</v>
      </c>
      <c r="Z112" s="37">
        <f>MAX(S107:S111)-MIN(S107:S111)</f>
        <v>1.963000000000001</v>
      </c>
      <c r="AA112" s="37" t="str">
        <f>TEXT(ROUND(MAX(S107:S111),1),"#.0")&amp;"–"&amp;TEXT(ROUND(MIN(S107:S111),1),"#.0")</f>
        <v>17.1–15.1</v>
      </c>
      <c r="AB112" s="37">
        <f>MEDIAN(S107:S111)</f>
        <v>15.853999999999999</v>
      </c>
      <c r="AC112" s="37">
        <f>QUARTILE(S107:S111,3)-QUARTILE(S107:S111,1)</f>
        <v>7.1999999999999176E-2</v>
      </c>
      <c r="AD112" s="37" t="str">
        <f>TEXT(ROUND(QUARTILE(S107:S111,3),1),"#.0")&amp;"–"&amp;TEXT(ROUND(QUARTILE(S107:S111,1),1),"#.0")</f>
        <v>15.9–15.8</v>
      </c>
    </row>
    <row r="113" spans="1:31" s="71" customFormat="1" x14ac:dyDescent="0.2">
      <c r="A113" s="52"/>
      <c r="B113" s="52"/>
      <c r="C113" s="52"/>
      <c r="D113" s="52"/>
      <c r="E113" s="53"/>
      <c r="F113" s="53"/>
      <c r="G113" s="54"/>
      <c r="H113" s="54"/>
      <c r="I113" s="53"/>
      <c r="J113" s="55"/>
      <c r="K113" s="55"/>
      <c r="L113" s="54"/>
      <c r="M113" s="56"/>
      <c r="N113" s="56"/>
      <c r="O113" s="57"/>
      <c r="P113" s="57"/>
      <c r="Q113" s="57"/>
      <c r="R113" s="57"/>
      <c r="S113" s="55"/>
      <c r="T113" s="59" t="s">
        <v>157</v>
      </c>
      <c r="U113" s="55"/>
      <c r="V113" s="55"/>
      <c r="W113" s="60">
        <f>COUNT(S107:S109,S111)</f>
        <v>4</v>
      </c>
      <c r="X113" s="61">
        <f>(SUM((S107/(U107^2)),(S108/(U108^2)),(S109/(U109^2)),(S111/(U111^2))))/(SUM((1/U107^2),(1/U108^2),(1/U109^2),(1/U111^2)))</f>
        <v>15.636338913977331</v>
      </c>
      <c r="Y113" s="61">
        <f>SQRT(1/(SUM((1/U107^2),(1/U108^2),(1/U109^2),(1/U111^2))))</f>
        <v>0.50113793160277109</v>
      </c>
      <c r="Z113" s="61">
        <f>MAX(S107:S109,S111)-MIN(S107:S109,S111)</f>
        <v>0.76699999999999946</v>
      </c>
      <c r="AA113" s="61" t="str">
        <f>TEXT(ROUND(MAX(S107:S109,S111),1),"#.0")&amp;"–"&amp;TEXT(ROUND(MIN(S107:S109,S111),1),"#.0")</f>
        <v>15.9–15.1</v>
      </c>
      <c r="AB113" s="61">
        <f>MEDIAN(S107:S109,S111)</f>
        <v>15.8285</v>
      </c>
      <c r="AC113" s="61">
        <f>QUARTILE((S107:S109,S111),3)-QUARTILE((S107:S109,S111),1)</f>
        <v>0.22999999999999865</v>
      </c>
      <c r="AD113" s="61" t="str">
        <f>TEXT(ROUND(QUARTILE((S107:S109,S111),3),1),"#.0")&amp;"–"&amp;TEXT(ROUND(QUARTILE((S107:S109,S111),1),1),"#.0")</f>
        <v>15.9–15.6</v>
      </c>
      <c r="AE113" s="72"/>
    </row>
    <row r="114" spans="1:31" x14ac:dyDescent="0.2">
      <c r="A114" s="7" t="s">
        <v>132</v>
      </c>
      <c r="B114" s="22" t="s">
        <v>144</v>
      </c>
      <c r="C114" s="7" t="s">
        <v>133</v>
      </c>
      <c r="D114" s="7" t="s">
        <v>30</v>
      </c>
      <c r="E114" s="8" t="s">
        <v>100</v>
      </c>
      <c r="F114" s="8" t="s">
        <v>101</v>
      </c>
      <c r="G114" s="9">
        <v>55.323</v>
      </c>
      <c r="H114" s="9">
        <v>-133.62710000000001</v>
      </c>
      <c r="I114" s="8">
        <v>225</v>
      </c>
      <c r="J114" s="10">
        <v>3</v>
      </c>
      <c r="K114" s="10">
        <v>2.7</v>
      </c>
      <c r="L114" s="9">
        <v>0.98860000000000003</v>
      </c>
      <c r="M114" s="11">
        <v>20.007899999999999</v>
      </c>
      <c r="N114" s="11">
        <v>0.22770000000000001</v>
      </c>
      <c r="O114" s="13">
        <v>1.04</v>
      </c>
      <c r="P114" s="13">
        <v>0.02</v>
      </c>
      <c r="Q114" s="13">
        <v>7.89</v>
      </c>
      <c r="R114" s="13">
        <v>0.15</v>
      </c>
      <c r="S114" s="10">
        <v>14.919</v>
      </c>
      <c r="T114" s="10">
        <v>0.28799999999999998</v>
      </c>
      <c r="U114" s="10">
        <v>0.92900000000000005</v>
      </c>
      <c r="V114" s="34" t="s">
        <v>161</v>
      </c>
      <c r="W114" s="29"/>
      <c r="X114" s="38"/>
      <c r="Y114" s="38"/>
      <c r="Z114" s="39"/>
      <c r="AA114" s="39"/>
      <c r="AB114" s="39"/>
      <c r="AC114" s="39"/>
      <c r="AD114" s="39"/>
    </row>
    <row r="115" spans="1:31" x14ac:dyDescent="0.2">
      <c r="A115" s="7" t="s">
        <v>134</v>
      </c>
      <c r="B115" s="22" t="s">
        <v>144</v>
      </c>
      <c r="C115" s="7" t="s">
        <v>133</v>
      </c>
      <c r="D115" s="7" t="s">
        <v>30</v>
      </c>
      <c r="E115" s="8" t="s">
        <v>100</v>
      </c>
      <c r="F115" s="8" t="s">
        <v>101</v>
      </c>
      <c r="G115" s="9">
        <v>55.322800000000001</v>
      </c>
      <c r="H115" s="9">
        <v>-133.6275</v>
      </c>
      <c r="I115" s="8">
        <v>215</v>
      </c>
      <c r="J115" s="10">
        <v>3</v>
      </c>
      <c r="K115" s="10">
        <v>2.7</v>
      </c>
      <c r="L115" s="9">
        <v>0.95150000000000001</v>
      </c>
      <c r="M115" s="11">
        <v>20.313500000000001</v>
      </c>
      <c r="N115" s="11">
        <v>0.22789999999999999</v>
      </c>
      <c r="O115" s="13">
        <v>0.98</v>
      </c>
      <c r="P115" s="13">
        <v>0.02</v>
      </c>
      <c r="Q115" s="13">
        <v>7.34</v>
      </c>
      <c r="R115" s="13">
        <v>0.14000000000000001</v>
      </c>
      <c r="S115" s="10">
        <v>14.555</v>
      </c>
      <c r="T115" s="10">
        <v>0.28299999999999997</v>
      </c>
      <c r="U115" s="10">
        <v>0.90700000000000003</v>
      </c>
      <c r="V115" s="34" t="s">
        <v>161</v>
      </c>
      <c r="W115" s="29"/>
      <c r="X115" s="38"/>
      <c r="Y115" s="38"/>
      <c r="Z115" s="39"/>
      <c r="AA115" s="39"/>
      <c r="AB115" s="39"/>
      <c r="AC115" s="39"/>
      <c r="AD115" s="39"/>
    </row>
    <row r="116" spans="1:31" x14ac:dyDescent="0.2">
      <c r="A116" s="7" t="s">
        <v>135</v>
      </c>
      <c r="B116" s="22" t="s">
        <v>144</v>
      </c>
      <c r="C116" s="7" t="s">
        <v>133</v>
      </c>
      <c r="D116" s="7" t="s">
        <v>30</v>
      </c>
      <c r="E116" s="8" t="s">
        <v>100</v>
      </c>
      <c r="F116" s="8" t="s">
        <v>101</v>
      </c>
      <c r="G116" s="9">
        <v>55.322600000000001</v>
      </c>
      <c r="H116" s="9">
        <v>-133.62739999999999</v>
      </c>
      <c r="I116" s="8">
        <v>213</v>
      </c>
      <c r="J116" s="10">
        <v>2</v>
      </c>
      <c r="K116" s="10">
        <v>2.7</v>
      </c>
      <c r="L116" s="9">
        <v>0.98170000000000002</v>
      </c>
      <c r="M116" s="11">
        <v>20.036799999999999</v>
      </c>
      <c r="N116" s="11">
        <v>0.2278</v>
      </c>
      <c r="O116" s="13">
        <v>1.02</v>
      </c>
      <c r="P116" s="13">
        <v>0.02</v>
      </c>
      <c r="Q116" s="13">
        <v>7.73</v>
      </c>
      <c r="R116" s="13">
        <v>0.15</v>
      </c>
      <c r="S116" s="10">
        <v>14.768000000000001</v>
      </c>
      <c r="T116" s="10">
        <v>0.28599999999999998</v>
      </c>
      <c r="U116" s="10">
        <v>0.92</v>
      </c>
      <c r="V116" s="34" t="s">
        <v>161</v>
      </c>
      <c r="W116" s="29"/>
      <c r="X116" s="38"/>
      <c r="Y116" s="38"/>
      <c r="Z116" s="39"/>
      <c r="AA116" s="39"/>
      <c r="AB116" s="39"/>
      <c r="AC116" s="39"/>
      <c r="AD116" s="39"/>
    </row>
    <row r="117" spans="1:31" x14ac:dyDescent="0.2">
      <c r="A117" s="7" t="s">
        <v>136</v>
      </c>
      <c r="B117" s="22" t="s">
        <v>144</v>
      </c>
      <c r="C117" s="7" t="s">
        <v>133</v>
      </c>
      <c r="D117" s="7" t="s">
        <v>41</v>
      </c>
      <c r="E117" s="8" t="s">
        <v>100</v>
      </c>
      <c r="F117" s="8" t="s">
        <v>101</v>
      </c>
      <c r="G117" s="9">
        <v>55.3232</v>
      </c>
      <c r="H117" s="9">
        <v>-133.62739999999999</v>
      </c>
      <c r="I117" s="8">
        <v>224</v>
      </c>
      <c r="J117" s="10">
        <v>1.5</v>
      </c>
      <c r="K117" s="10">
        <v>2.7</v>
      </c>
      <c r="L117" s="9">
        <v>0.98860000000000003</v>
      </c>
      <c r="M117" s="11">
        <v>20.036799999999999</v>
      </c>
      <c r="N117" s="11">
        <v>0.2278</v>
      </c>
      <c r="O117" s="13">
        <v>1.1399999999999999</v>
      </c>
      <c r="P117" s="13">
        <v>0.02</v>
      </c>
      <c r="Q117" s="13">
        <v>8.65</v>
      </c>
      <c r="R117" s="13">
        <v>0.17</v>
      </c>
      <c r="S117" s="10">
        <v>16.149999999999999</v>
      </c>
      <c r="T117" s="10">
        <v>0.311</v>
      </c>
      <c r="U117" s="10">
        <v>1.006</v>
      </c>
      <c r="V117" s="34" t="s">
        <v>162</v>
      </c>
      <c r="W117" s="29"/>
      <c r="X117" s="38"/>
      <c r="Y117" s="38"/>
      <c r="Z117" s="39"/>
      <c r="AA117" s="39"/>
      <c r="AB117" s="39"/>
      <c r="AC117" s="39"/>
      <c r="AD117" s="39"/>
    </row>
    <row r="118" spans="1:31" x14ac:dyDescent="0.2">
      <c r="A118" s="22"/>
      <c r="B118" s="22"/>
      <c r="C118" s="22"/>
      <c r="D118" s="22"/>
      <c r="E118" s="14"/>
      <c r="F118" s="14"/>
      <c r="G118" s="23"/>
      <c r="H118" s="23"/>
      <c r="I118" s="14"/>
      <c r="J118" s="24"/>
      <c r="K118" s="24"/>
      <c r="L118" s="23"/>
      <c r="M118" s="25"/>
      <c r="N118" s="25"/>
      <c r="O118" s="12"/>
      <c r="P118" s="12"/>
      <c r="Q118" s="12"/>
      <c r="R118" s="12"/>
      <c r="S118" s="24"/>
      <c r="T118" s="50" t="s">
        <v>88</v>
      </c>
      <c r="U118" s="24"/>
      <c r="V118" s="24"/>
      <c r="W118" s="29">
        <f>COUNT(S114:S117)</f>
        <v>4</v>
      </c>
      <c r="X118" s="37">
        <f>(SUM((S114/(U114^2)),(S115/(U115^2)),(S116/(U116^2)),(S117/(U117^2))))/(SUM((1/U114^2),(1/U115^2),(1/U116^2),(1/U117^2)))</f>
        <v>15.050052488350946</v>
      </c>
      <c r="Y118" s="37">
        <f>SQRT(1/(SUM((1/U114^2),(1/U115^2),(1/U116^2),(1/U117^2))))</f>
        <v>0.46912384750244129</v>
      </c>
      <c r="Z118" s="34">
        <f>MAX(S114:S117)-MIN(S114:S117)</f>
        <v>1.5949999999999989</v>
      </c>
      <c r="AA118" s="34" t="str">
        <f>TEXT(ROUND(MAX(S114:S117),1),"#.0")&amp;"–"&amp;TEXT(ROUND(MIN(S114:S117),1),"#.0")</f>
        <v>16.2–14.6</v>
      </c>
      <c r="AB118" s="34">
        <f>MEDIAN(S114:S117)</f>
        <v>14.843500000000001</v>
      </c>
      <c r="AC118" s="34">
        <f>QUARTILE(S114:S117,3)-QUARTILE(S114:S117,1)</f>
        <v>0.51199999999999868</v>
      </c>
      <c r="AD118" s="34" t="str">
        <f>TEXT(ROUND(QUARTILE(S114:S117,3),1),"#.0")&amp;"–"&amp;TEXT(ROUND(QUARTILE(S114:S117,1),1),"#.0")</f>
        <v>15.2–14.7</v>
      </c>
    </row>
    <row r="119" spans="1:31" x14ac:dyDescent="0.2">
      <c r="A119" s="4"/>
      <c r="B119" s="4"/>
      <c r="C119" s="4"/>
      <c r="D119" s="4"/>
      <c r="E119" s="5"/>
      <c r="F119" s="5"/>
      <c r="G119" s="15"/>
      <c r="H119" s="15"/>
      <c r="I119" s="5"/>
      <c r="J119" s="16"/>
      <c r="K119" s="16"/>
      <c r="L119" s="15"/>
      <c r="M119" s="17"/>
      <c r="N119" s="17"/>
      <c r="O119" s="18"/>
      <c r="P119" s="18"/>
      <c r="Q119" s="18"/>
      <c r="R119" s="18"/>
      <c r="S119" s="16"/>
      <c r="T119" s="59" t="s">
        <v>157</v>
      </c>
      <c r="U119" s="16"/>
      <c r="V119" s="16"/>
      <c r="W119" s="30">
        <f>COUNT(S114:S116)</f>
        <v>3</v>
      </c>
      <c r="X119" s="36">
        <f>(SUM((S114/(U114^2)),(S115/(U115^2)),(S116/(U116^2))))/(SUM((1/U114^2),(1/U115^2),(1/U116^2)))</f>
        <v>14.744388422952273</v>
      </c>
      <c r="Y119" s="36">
        <f>SQRT(1/(SUM((1/U114^2),(1/U115^2),(1/U116^2))))</f>
        <v>0.53031534325237339</v>
      </c>
      <c r="Z119" s="36">
        <f>MAX(S114:S116)-MIN(S114:S116)</f>
        <v>0.36400000000000077</v>
      </c>
      <c r="AA119" s="36" t="str">
        <f>TEXT(ROUND(MAX(S114:S116),1),"#.0")&amp;"–"&amp;TEXT(ROUND(MIN(S114:S116),1),"#.0")</f>
        <v>14.9–14.6</v>
      </c>
      <c r="AB119" s="36">
        <f>MEDIAN(S114:S116)</f>
        <v>14.768000000000001</v>
      </c>
      <c r="AC119" s="36">
        <f>QUARTILE(S114:S116,3)-QUARTILE(S114:S116,1)</f>
        <v>0.18200000000000038</v>
      </c>
      <c r="AD119" s="36" t="str">
        <f>TEXT(ROUND(QUARTILE(S114:S116,3),1),"#.0")&amp;"–"&amp;TEXT(ROUND(QUARTILE(S114:S116,1),1),"#.0")</f>
        <v>14.8–14.7</v>
      </c>
      <c r="AE119" s="72"/>
    </row>
    <row r="120" spans="1:31" x14ac:dyDescent="0.2">
      <c r="A120" s="7" t="s">
        <v>137</v>
      </c>
      <c r="B120" s="22" t="s">
        <v>144</v>
      </c>
      <c r="C120" s="7" t="s">
        <v>138</v>
      </c>
      <c r="D120" s="7" t="s">
        <v>41</v>
      </c>
      <c r="E120" s="8" t="s">
        <v>100</v>
      </c>
      <c r="F120" s="8" t="s">
        <v>101</v>
      </c>
      <c r="G120" s="9">
        <v>55.906500000000001</v>
      </c>
      <c r="H120" s="9">
        <v>-133.92400000000001</v>
      </c>
      <c r="I120" s="8">
        <v>185</v>
      </c>
      <c r="J120" s="10">
        <v>3</v>
      </c>
      <c r="K120" s="10">
        <v>2.7</v>
      </c>
      <c r="L120" s="9">
        <v>0.99639999999999995</v>
      </c>
      <c r="M120" s="11">
        <v>30.047599999999999</v>
      </c>
      <c r="N120" s="11">
        <v>0.22509999999999999</v>
      </c>
      <c r="O120" s="13">
        <v>2.42</v>
      </c>
      <c r="P120" s="13">
        <v>0.05</v>
      </c>
      <c r="Q120" s="13">
        <v>12.1</v>
      </c>
      <c r="R120" s="13">
        <v>0.23</v>
      </c>
      <c r="S120" s="10">
        <v>23.33</v>
      </c>
      <c r="T120" s="10">
        <v>0.44400000000000001</v>
      </c>
      <c r="U120" s="10">
        <v>1.454</v>
      </c>
      <c r="V120" s="34" t="s">
        <v>162</v>
      </c>
      <c r="W120" s="29"/>
      <c r="X120" s="38"/>
      <c r="Y120" s="38"/>
      <c r="Z120" s="39"/>
      <c r="AA120" s="39"/>
      <c r="AB120" s="39"/>
      <c r="AC120" s="39"/>
      <c r="AD120" s="39"/>
    </row>
    <row r="121" spans="1:31" x14ac:dyDescent="0.2">
      <c r="A121" s="7" t="s">
        <v>139</v>
      </c>
      <c r="B121" s="22" t="s">
        <v>144</v>
      </c>
      <c r="C121" s="7" t="s">
        <v>138</v>
      </c>
      <c r="D121" s="7" t="s">
        <v>30</v>
      </c>
      <c r="E121" s="8" t="s">
        <v>100</v>
      </c>
      <c r="F121" s="8" t="s">
        <v>101</v>
      </c>
      <c r="G121" s="9">
        <v>55.906500000000001</v>
      </c>
      <c r="H121" s="9">
        <v>-133.92339999999999</v>
      </c>
      <c r="I121" s="8">
        <v>181</v>
      </c>
      <c r="J121" s="10">
        <v>3</v>
      </c>
      <c r="K121" s="10">
        <v>2.7</v>
      </c>
      <c r="L121" s="9">
        <v>0.99639999999999995</v>
      </c>
      <c r="M121" s="11">
        <v>30.063700000000001</v>
      </c>
      <c r="N121" s="11">
        <v>0.22550000000000001</v>
      </c>
      <c r="O121" s="13">
        <v>1.67</v>
      </c>
      <c r="P121" s="13">
        <v>0.03</v>
      </c>
      <c r="Q121" s="13">
        <v>8.3699999999999992</v>
      </c>
      <c r="R121" s="13">
        <v>0.16</v>
      </c>
      <c r="S121" s="10">
        <v>16.280999999999999</v>
      </c>
      <c r="T121" s="10">
        <v>0.314</v>
      </c>
      <c r="U121" s="10">
        <v>1.014</v>
      </c>
      <c r="V121" s="34" t="s">
        <v>161</v>
      </c>
      <c r="W121" s="29"/>
      <c r="X121" s="38"/>
      <c r="Y121" s="38"/>
      <c r="Z121" s="39"/>
      <c r="AA121" s="39"/>
      <c r="AB121" s="39"/>
      <c r="AC121" s="39"/>
      <c r="AD121" s="39"/>
    </row>
    <row r="122" spans="1:31" x14ac:dyDescent="0.2">
      <c r="A122" s="7" t="s">
        <v>140</v>
      </c>
      <c r="B122" s="22" t="s">
        <v>144</v>
      </c>
      <c r="C122" s="7" t="s">
        <v>138</v>
      </c>
      <c r="D122" s="7" t="s">
        <v>30</v>
      </c>
      <c r="E122" s="8" t="s">
        <v>100</v>
      </c>
      <c r="F122" s="8" t="s">
        <v>101</v>
      </c>
      <c r="G122" s="9">
        <v>55.900399999999998</v>
      </c>
      <c r="H122" s="9">
        <v>-133.90979999999999</v>
      </c>
      <c r="I122" s="8">
        <v>571</v>
      </c>
      <c r="J122" s="10">
        <v>3</v>
      </c>
      <c r="K122" s="10">
        <v>2.7</v>
      </c>
      <c r="L122" s="9">
        <v>1</v>
      </c>
      <c r="M122" s="11">
        <v>24.400700000000001</v>
      </c>
      <c r="N122" s="11">
        <v>0.1986</v>
      </c>
      <c r="O122" s="13">
        <v>2.2000000000000002</v>
      </c>
      <c r="P122" s="13">
        <v>0.05</v>
      </c>
      <c r="Q122" s="13">
        <v>12</v>
      </c>
      <c r="R122" s="13">
        <v>0.25</v>
      </c>
      <c r="S122" s="10">
        <v>16.184999999999999</v>
      </c>
      <c r="T122" s="10">
        <v>0.33700000000000002</v>
      </c>
      <c r="U122" s="10">
        <v>1.016</v>
      </c>
      <c r="V122" s="34" t="s">
        <v>161</v>
      </c>
      <c r="W122" s="29"/>
      <c r="X122" s="38"/>
      <c r="Y122" s="38"/>
      <c r="Z122" s="39"/>
      <c r="AA122" s="39"/>
      <c r="AB122" s="39"/>
      <c r="AC122" s="39"/>
      <c r="AD122" s="39"/>
    </row>
    <row r="123" spans="1:31" x14ac:dyDescent="0.2">
      <c r="A123" s="22"/>
      <c r="B123" s="22"/>
      <c r="C123" s="22"/>
      <c r="D123" s="22"/>
      <c r="E123" s="14"/>
      <c r="F123" s="14"/>
      <c r="G123" s="23"/>
      <c r="H123" s="23"/>
      <c r="I123" s="14"/>
      <c r="J123" s="24"/>
      <c r="K123" s="24"/>
      <c r="L123" s="23"/>
      <c r="M123" s="25"/>
      <c r="N123" s="25"/>
      <c r="O123" s="12"/>
      <c r="P123" s="12"/>
      <c r="Q123" s="12"/>
      <c r="R123" s="12"/>
      <c r="S123" s="24"/>
      <c r="T123" s="50" t="s">
        <v>88</v>
      </c>
      <c r="U123" s="24"/>
      <c r="V123" s="24"/>
      <c r="W123" s="29">
        <f>COUNT(S120:S122)</f>
        <v>3</v>
      </c>
      <c r="X123" s="37">
        <f>(SUM((S120/(U120^2)),(S121/(U121^2)),(S122/(U122^2))))/(SUM((1/U120^2),(1/U121^2),(1/U122^2)))</f>
        <v>17.623500980940783</v>
      </c>
      <c r="Y123" s="37">
        <f>SQRT(1/(SUM((1/U120^2),(1/U121^2),(1/U122^2))))</f>
        <v>0.64357738807553144</v>
      </c>
      <c r="Z123" s="34">
        <f>MAX(S120:S122)-MIN(S120:S122)</f>
        <v>7.1449999999999996</v>
      </c>
      <c r="AA123" s="34" t="str">
        <f>TEXT(ROUND(MAX(S120:S122),1),"#.0")&amp;"–"&amp;TEXT(ROUND(MIN(S120:S122),1),"#.0")</f>
        <v>23.3–16.2</v>
      </c>
      <c r="AB123" s="34">
        <f>MEDIAN(S120:S122)</f>
        <v>16.280999999999999</v>
      </c>
      <c r="AC123" s="34">
        <f>QUARTILE(S120:S122,3)-QUARTILE(S120:S122,1)</f>
        <v>3.5725000000000016</v>
      </c>
      <c r="AD123" s="34" t="str">
        <f>TEXT(ROUND(QUARTILE(S120:S122,3),1),"#.0")&amp;"–"&amp;TEXT(ROUND(QUARTILE(S120:S122,1),1),"#.0")</f>
        <v>19.8–16.2</v>
      </c>
    </row>
    <row r="124" spans="1:31" x14ac:dyDescent="0.2">
      <c r="A124" s="4"/>
      <c r="B124" s="4"/>
      <c r="C124" s="4"/>
      <c r="D124" s="4"/>
      <c r="E124" s="5"/>
      <c r="F124" s="5"/>
      <c r="G124" s="15"/>
      <c r="H124" s="15"/>
      <c r="I124" s="5"/>
      <c r="J124" s="16"/>
      <c r="K124" s="16"/>
      <c r="L124" s="15"/>
      <c r="M124" s="17"/>
      <c r="N124" s="17"/>
      <c r="O124" s="18"/>
      <c r="P124" s="18"/>
      <c r="Q124" s="18"/>
      <c r="R124" s="18"/>
      <c r="S124" s="16"/>
      <c r="T124" s="59" t="s">
        <v>157</v>
      </c>
      <c r="U124" s="16"/>
      <c r="V124" s="16"/>
      <c r="W124" s="30">
        <f>COUNT(S121:S122)</f>
        <v>2</v>
      </c>
      <c r="X124" s="36">
        <f>(SUM((S121/(U121^2)),(S122/(U122^2))))/(SUM((1/U121^2),(1/U122^2)))</f>
        <v>16.233094581188983</v>
      </c>
      <c r="Y124" s="36">
        <f>SQRT(1/(SUM((1/U121^2),(1/U122^2))))</f>
        <v>0.71771233791954658</v>
      </c>
      <c r="Z124" s="36">
        <f>MAX(S121:S122)-MIN(S121:S122)</f>
        <v>9.6000000000000085E-2</v>
      </c>
      <c r="AA124" s="36" t="str">
        <f>TEXT(ROUND(MAX(S121:S122),1),"#.0")&amp;"–"&amp;TEXT(ROUND(MIN(S121:S122),1),"#.0")</f>
        <v>16.3–16.2</v>
      </c>
      <c r="AB124" s="36">
        <f>MEDIAN(S121:S122)</f>
        <v>16.232999999999997</v>
      </c>
      <c r="AC124" s="36">
        <f>QUARTILE(S121:S122,3)-QUARTILE(S121:S122,1)</f>
        <v>4.7999999999998266E-2</v>
      </c>
      <c r="AD124" s="36" t="str">
        <f>TEXT(ROUND(QUARTILE(S121:S122,3),1),"#.0")&amp;"–"&amp;TEXT(ROUND(QUARTILE(S121:S122,1),1),"#.0")</f>
        <v>16.3–16.2</v>
      </c>
      <c r="AE124" s="72"/>
    </row>
    <row r="125" spans="1:31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</row>
    <row r="126" spans="1:31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AC126" s="72"/>
    </row>
    <row r="127" spans="1:3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</row>
    <row r="128" spans="1:31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</row>
    <row r="129" spans="1:23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</row>
    <row r="130" spans="1:23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</row>
    <row r="131" spans="1:23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</row>
    <row r="132" spans="1:23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</row>
    <row r="133" spans="1:23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</row>
    <row r="134" spans="1:23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</row>
    <row r="135" spans="1:23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</row>
    <row r="136" spans="1:23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</row>
    <row r="137" spans="1:23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</row>
    <row r="138" spans="1:23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</row>
    <row r="139" spans="1:23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</row>
    <row r="140" spans="1:23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</row>
    <row r="141" spans="1:23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</row>
    <row r="142" spans="1:23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</row>
    <row r="143" spans="1:23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</row>
    <row r="144" spans="1:23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</row>
    <row r="145" spans="1:23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</row>
    <row r="146" spans="1:23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</row>
    <row r="147" spans="1:23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</row>
    <row r="148" spans="1:23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</row>
    <row r="149" spans="1:23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</row>
    <row r="150" spans="1:23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</row>
    <row r="151" spans="1:23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</row>
    <row r="152" spans="1:23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</row>
    <row r="153" spans="1:23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</row>
    <row r="154" spans="1:23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</row>
    <row r="155" spans="1:23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</row>
    <row r="156" spans="1:23" x14ac:dyDescent="0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</row>
    <row r="157" spans="1:23" x14ac:dyDescent="0.2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</row>
    <row r="158" spans="1:23" x14ac:dyDescent="0.2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</row>
    <row r="159" spans="1:23" x14ac:dyDescent="0.2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</row>
    <row r="160" spans="1:23" x14ac:dyDescent="0.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</row>
    <row r="161" spans="1:23" x14ac:dyDescent="0.2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</row>
    <row r="162" spans="1:23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</row>
    <row r="163" spans="1:23" x14ac:dyDescent="0.2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</row>
    <row r="164" spans="1:23" x14ac:dyDescent="0.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</row>
    <row r="165" spans="1:23" x14ac:dyDescent="0.2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</row>
    <row r="166" spans="1:23" x14ac:dyDescent="0.2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</row>
    <row r="167" spans="1:23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</row>
    <row r="168" spans="1:23" x14ac:dyDescent="0.2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</row>
    <row r="169" spans="1:23" x14ac:dyDescent="0.2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</row>
    <row r="170" spans="1:23" x14ac:dyDescent="0.2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</row>
    <row r="171" spans="1:23" x14ac:dyDescent="0.2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</row>
    <row r="172" spans="1:23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</row>
    <row r="173" spans="1:23" x14ac:dyDescent="0.2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</row>
    <row r="174" spans="1:23" x14ac:dyDescent="0.2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</row>
    <row r="175" spans="1:23" x14ac:dyDescent="0.2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</row>
    <row r="176" spans="1:23" x14ac:dyDescent="0.2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</row>
    <row r="177" spans="1:23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</row>
    <row r="178" spans="1:23" x14ac:dyDescent="0.2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</row>
    <row r="179" spans="1:23" x14ac:dyDescent="0.2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</row>
    <row r="180" spans="1:23" x14ac:dyDescent="0.2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</row>
    <row r="181" spans="1:23" x14ac:dyDescent="0.2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</row>
    <row r="182" spans="1:23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</row>
    <row r="183" spans="1:23" x14ac:dyDescent="0.2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</row>
    <row r="184" spans="1:23" x14ac:dyDescent="0.2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</row>
    <row r="185" spans="1:23" x14ac:dyDescent="0.2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</row>
    <row r="186" spans="1:23" x14ac:dyDescent="0.2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</row>
    <row r="187" spans="1:23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</row>
    <row r="188" spans="1:23" x14ac:dyDescent="0.2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</row>
    <row r="189" spans="1:23" x14ac:dyDescent="0.2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</row>
    <row r="190" spans="1:23" x14ac:dyDescent="0.2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</row>
    <row r="191" spans="1:23" x14ac:dyDescent="0.2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</row>
    <row r="192" spans="1:23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</row>
    <row r="193" spans="1:23" x14ac:dyDescent="0.2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</row>
    <row r="194" spans="1:23" x14ac:dyDescent="0.2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</row>
    <row r="195" spans="1:23" x14ac:dyDescent="0.2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</row>
    <row r="196" spans="1:23" x14ac:dyDescent="0.2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</row>
    <row r="197" spans="1:23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</row>
    <row r="198" spans="1:23" x14ac:dyDescent="0.2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</row>
    <row r="199" spans="1:23" x14ac:dyDescent="0.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</row>
    <row r="200" spans="1:23" x14ac:dyDescent="0.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</row>
    <row r="201" spans="1:23" x14ac:dyDescent="0.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</row>
    <row r="202" spans="1:23" x14ac:dyDescent="0.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</row>
    <row r="203" spans="1:23" x14ac:dyDescent="0.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</row>
    <row r="204" spans="1:23" x14ac:dyDescent="0.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</row>
    <row r="205" spans="1:23" x14ac:dyDescent="0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</row>
    <row r="206" spans="1:23" x14ac:dyDescent="0.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</row>
    <row r="207" spans="1:23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</row>
    <row r="208" spans="1:23" x14ac:dyDescent="0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</row>
    <row r="209" spans="1:23" x14ac:dyDescent="0.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</row>
    <row r="210" spans="1:23" x14ac:dyDescent="0.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</row>
    <row r="211" spans="1:23" x14ac:dyDescent="0.2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</row>
    <row r="212" spans="1:23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</row>
    <row r="213" spans="1:23" x14ac:dyDescent="0.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</row>
    <row r="214" spans="1:23" x14ac:dyDescent="0.2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</row>
    <row r="215" spans="1:23" x14ac:dyDescent="0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</row>
    <row r="216" spans="1:23" x14ac:dyDescent="0.2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</row>
    <row r="217" spans="1:23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</row>
    <row r="218" spans="1:23" x14ac:dyDescent="0.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</row>
    <row r="219" spans="1:23" x14ac:dyDescent="0.2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</row>
    <row r="220" spans="1:23" x14ac:dyDescent="0.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</row>
    <row r="221" spans="1:23" x14ac:dyDescent="0.2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</row>
    <row r="222" spans="1:23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</row>
    <row r="223" spans="1:23" x14ac:dyDescent="0.2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</row>
    <row r="224" spans="1:23" x14ac:dyDescent="0.2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</row>
    <row r="225" spans="1:23" x14ac:dyDescent="0.2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</row>
    <row r="226" spans="1:23" x14ac:dyDescent="0.2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</row>
    <row r="227" spans="1:23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</row>
    <row r="228" spans="1:23" x14ac:dyDescent="0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</row>
    <row r="229" spans="1:23" x14ac:dyDescent="0.2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</row>
    <row r="230" spans="1:23" x14ac:dyDescent="0.2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</row>
    <row r="231" spans="1:23" x14ac:dyDescent="0.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</row>
    <row r="232" spans="1:23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</row>
    <row r="233" spans="1:23" x14ac:dyDescent="0.2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</row>
    <row r="234" spans="1:23" x14ac:dyDescent="0.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</row>
    <row r="235" spans="1:23" x14ac:dyDescent="0.2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</row>
    <row r="236" spans="1:23" x14ac:dyDescent="0.2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</row>
    <row r="237" spans="1:23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</row>
    <row r="238" spans="1:23" x14ac:dyDescent="0.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</row>
    <row r="239" spans="1:23" x14ac:dyDescent="0.2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</row>
    <row r="240" spans="1:23" x14ac:dyDescent="0.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</row>
    <row r="241" spans="1:23" x14ac:dyDescent="0.2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</row>
    <row r="242" spans="1:23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</row>
    <row r="243" spans="1:23" x14ac:dyDescent="0.2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</row>
    <row r="244" spans="1:23" x14ac:dyDescent="0.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</row>
    <row r="245" spans="1:23" x14ac:dyDescent="0.2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</row>
    <row r="246" spans="1:23" x14ac:dyDescent="0.2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</row>
    <row r="247" spans="1:23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</row>
    <row r="248" spans="1:23" x14ac:dyDescent="0.2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</row>
    <row r="249" spans="1:23" x14ac:dyDescent="0.2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</row>
    <row r="250" spans="1:23" x14ac:dyDescent="0.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</row>
    <row r="251" spans="1:23" x14ac:dyDescent="0.2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</row>
    <row r="252" spans="1:23" x14ac:dyDescent="0.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</row>
    <row r="253" spans="1:23" x14ac:dyDescent="0.2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</row>
    <row r="254" spans="1:23" x14ac:dyDescent="0.2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</row>
    <row r="255" spans="1:23" x14ac:dyDescent="0.2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</row>
    <row r="256" spans="1:23" x14ac:dyDescent="0.2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</row>
    <row r="257" spans="1:23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</row>
    <row r="258" spans="1:23" x14ac:dyDescent="0.2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</row>
    <row r="259" spans="1:23" x14ac:dyDescent="0.2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</row>
    <row r="260" spans="1:23" x14ac:dyDescent="0.2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</row>
    <row r="261" spans="1:23" x14ac:dyDescent="0.2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</row>
    <row r="262" spans="1:23" x14ac:dyDescent="0.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</row>
    <row r="263" spans="1:23" x14ac:dyDescent="0.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</row>
    <row r="264" spans="1:23" x14ac:dyDescent="0.2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</row>
    <row r="265" spans="1:23" x14ac:dyDescent="0.2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</row>
    <row r="266" spans="1:23" x14ac:dyDescent="0.2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</row>
    <row r="267" spans="1:23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</row>
    <row r="268" spans="1:23" x14ac:dyDescent="0.2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</row>
    <row r="269" spans="1:23" x14ac:dyDescent="0.2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</row>
    <row r="270" spans="1:23" x14ac:dyDescent="0.2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</row>
    <row r="271" spans="1:23" x14ac:dyDescent="0.2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</row>
    <row r="272" spans="1:23" x14ac:dyDescent="0.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</row>
    <row r="273" spans="1:23" x14ac:dyDescent="0.2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</row>
    <row r="274" spans="1:23" x14ac:dyDescent="0.2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</row>
    <row r="275" spans="1:23" x14ac:dyDescent="0.2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</row>
    <row r="276" spans="1:23" x14ac:dyDescent="0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</row>
    <row r="277" spans="1:23" x14ac:dyDescent="0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</row>
    <row r="278" spans="1:23" x14ac:dyDescent="0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</row>
    <row r="279" spans="1:23" x14ac:dyDescent="0.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</row>
    <row r="280" spans="1:23" x14ac:dyDescent="0.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</row>
    <row r="281" spans="1:23" x14ac:dyDescent="0.2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</row>
    <row r="282" spans="1:23" x14ac:dyDescent="0.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</row>
    <row r="283" spans="1:23" x14ac:dyDescent="0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</row>
    <row r="284" spans="1:23" x14ac:dyDescent="0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</row>
    <row r="285" spans="1:23" x14ac:dyDescent="0.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</row>
    <row r="286" spans="1:23" x14ac:dyDescent="0.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</row>
    <row r="287" spans="1:23" x14ac:dyDescent="0.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</row>
    <row r="288" spans="1:23" x14ac:dyDescent="0.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</row>
    <row r="289" spans="1:23" x14ac:dyDescent="0.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</row>
    <row r="290" spans="1:23" x14ac:dyDescent="0.2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</row>
    <row r="291" spans="1:23" x14ac:dyDescent="0.2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</row>
    <row r="292" spans="1:23" x14ac:dyDescent="0.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</row>
    <row r="293" spans="1:23" x14ac:dyDescent="0.2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</row>
    <row r="294" spans="1:23" x14ac:dyDescent="0.2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</row>
    <row r="295" spans="1:23" x14ac:dyDescent="0.2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</row>
    <row r="296" spans="1:23" x14ac:dyDescent="0.2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</row>
    <row r="297" spans="1:23" x14ac:dyDescent="0.2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</row>
    <row r="298" spans="1:23" x14ac:dyDescent="0.2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</row>
    <row r="299" spans="1:23" x14ac:dyDescent="0.2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</row>
    <row r="300" spans="1:23" x14ac:dyDescent="0.2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</row>
    <row r="301" spans="1:23" x14ac:dyDescent="0.2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</row>
    <row r="302" spans="1:23" x14ac:dyDescent="0.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</row>
    <row r="303" spans="1:23" x14ac:dyDescent="0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</row>
    <row r="304" spans="1:23" x14ac:dyDescent="0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</row>
    <row r="305" spans="1:23" x14ac:dyDescent="0.2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</row>
    <row r="306" spans="1:23" x14ac:dyDescent="0.2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</row>
    <row r="307" spans="1:23" x14ac:dyDescent="0.2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</row>
    <row r="308" spans="1:23" x14ac:dyDescent="0.2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</row>
    <row r="309" spans="1:23" x14ac:dyDescent="0.2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</row>
    <row r="310" spans="1:23" x14ac:dyDescent="0.2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</row>
    <row r="311" spans="1:23" x14ac:dyDescent="0.2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</row>
    <row r="312" spans="1:23" x14ac:dyDescent="0.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</row>
    <row r="313" spans="1:23" x14ac:dyDescent="0.2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</row>
    <row r="314" spans="1:23" x14ac:dyDescent="0.2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</row>
    <row r="315" spans="1:23" x14ac:dyDescent="0.2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</row>
    <row r="316" spans="1:23" x14ac:dyDescent="0.2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</row>
    <row r="317" spans="1:23" x14ac:dyDescent="0.2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</row>
    <row r="318" spans="1:23" x14ac:dyDescent="0.2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</row>
    <row r="319" spans="1:23" x14ac:dyDescent="0.2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</row>
    <row r="320" spans="1:23" x14ac:dyDescent="0.2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</row>
    <row r="321" spans="1:23" x14ac:dyDescent="0.2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</row>
    <row r="322" spans="1:23" x14ac:dyDescent="0.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</row>
    <row r="323" spans="1:23" x14ac:dyDescent="0.2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</row>
    <row r="324" spans="1:23" x14ac:dyDescent="0.2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</row>
    <row r="325" spans="1:23" x14ac:dyDescent="0.2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</row>
    <row r="326" spans="1:23" x14ac:dyDescent="0.2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</row>
    <row r="327" spans="1:23" x14ac:dyDescent="0.2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</row>
    <row r="328" spans="1:23" x14ac:dyDescent="0.2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</row>
    <row r="329" spans="1:23" x14ac:dyDescent="0.2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</row>
    <row r="330" spans="1:23" x14ac:dyDescent="0.2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</row>
    <row r="331" spans="1:23" x14ac:dyDescent="0.2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</row>
    <row r="332" spans="1:23" x14ac:dyDescent="0.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</row>
    <row r="333" spans="1:23" x14ac:dyDescent="0.2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</row>
    <row r="334" spans="1:23" x14ac:dyDescent="0.2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</row>
    <row r="335" spans="1:23" x14ac:dyDescent="0.2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</row>
    <row r="336" spans="1:23" x14ac:dyDescent="0.2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</row>
    <row r="337" spans="1:23" x14ac:dyDescent="0.2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</row>
    <row r="338" spans="1:23" x14ac:dyDescent="0.2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</row>
    <row r="339" spans="1:23" x14ac:dyDescent="0.2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</row>
    <row r="340" spans="1:23" x14ac:dyDescent="0.2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</row>
    <row r="341" spans="1:23" x14ac:dyDescent="0.2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</row>
    <row r="342" spans="1:23" x14ac:dyDescent="0.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</row>
    <row r="343" spans="1:23" x14ac:dyDescent="0.2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</row>
    <row r="344" spans="1:23" x14ac:dyDescent="0.2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</row>
    <row r="345" spans="1:23" x14ac:dyDescent="0.2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</row>
    <row r="346" spans="1:23" x14ac:dyDescent="0.2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</row>
    <row r="347" spans="1:23" x14ac:dyDescent="0.2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</row>
    <row r="348" spans="1:23" x14ac:dyDescent="0.2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</row>
    <row r="349" spans="1:23" x14ac:dyDescent="0.2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</row>
    <row r="350" spans="1:23" x14ac:dyDescent="0.2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</row>
    <row r="351" spans="1:23" x14ac:dyDescent="0.2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</row>
    <row r="352" spans="1:23" x14ac:dyDescent="0.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</row>
    <row r="353" spans="1:23" x14ac:dyDescent="0.2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</row>
    <row r="354" spans="1:23" x14ac:dyDescent="0.2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</row>
    <row r="355" spans="1:23" x14ac:dyDescent="0.2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</row>
    <row r="356" spans="1:23" x14ac:dyDescent="0.2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</row>
    <row r="357" spans="1:23" x14ac:dyDescent="0.2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</row>
    <row r="358" spans="1:23" x14ac:dyDescent="0.2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</row>
    <row r="359" spans="1:23" x14ac:dyDescent="0.2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</row>
    <row r="360" spans="1:23" x14ac:dyDescent="0.2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</row>
    <row r="361" spans="1:23" x14ac:dyDescent="0.2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</row>
    <row r="362" spans="1:23" x14ac:dyDescent="0.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</row>
    <row r="363" spans="1:23" x14ac:dyDescent="0.2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</row>
    <row r="364" spans="1:23" x14ac:dyDescent="0.2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</row>
    <row r="365" spans="1:23" x14ac:dyDescent="0.2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</row>
    <row r="366" spans="1:23" x14ac:dyDescent="0.2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</row>
    <row r="367" spans="1:23" x14ac:dyDescent="0.2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</row>
    <row r="368" spans="1:23" x14ac:dyDescent="0.2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</row>
    <row r="369" spans="1:23" x14ac:dyDescent="0.2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</row>
    <row r="370" spans="1:23" x14ac:dyDescent="0.2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</row>
    <row r="371" spans="1:23" x14ac:dyDescent="0.2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</row>
    <row r="372" spans="1:23" x14ac:dyDescent="0.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</row>
    <row r="373" spans="1:23" x14ac:dyDescent="0.2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</row>
    <row r="374" spans="1:23" x14ac:dyDescent="0.2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</row>
    <row r="375" spans="1:23" x14ac:dyDescent="0.2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</row>
    <row r="376" spans="1:23" x14ac:dyDescent="0.2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</row>
    <row r="377" spans="1:23" x14ac:dyDescent="0.2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</row>
    <row r="378" spans="1:23" x14ac:dyDescent="0.2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</row>
    <row r="379" spans="1:23" x14ac:dyDescent="0.2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</row>
    <row r="380" spans="1:23" x14ac:dyDescent="0.2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</row>
    <row r="381" spans="1:23" x14ac:dyDescent="0.2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</row>
    <row r="382" spans="1:23" x14ac:dyDescent="0.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</row>
    <row r="383" spans="1:23" x14ac:dyDescent="0.2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</row>
    <row r="384" spans="1:23" x14ac:dyDescent="0.2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</row>
    <row r="385" spans="1:23" x14ac:dyDescent="0.2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</row>
    <row r="386" spans="1:23" x14ac:dyDescent="0.2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</row>
    <row r="387" spans="1:23" x14ac:dyDescent="0.2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</row>
    <row r="388" spans="1:23" x14ac:dyDescent="0.2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</row>
    <row r="389" spans="1:23" x14ac:dyDescent="0.2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</row>
    <row r="390" spans="1:23" x14ac:dyDescent="0.2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</row>
    <row r="391" spans="1:23" x14ac:dyDescent="0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</row>
    <row r="392" spans="1:23" x14ac:dyDescent="0.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</row>
    <row r="393" spans="1:23" x14ac:dyDescent="0.2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</row>
    <row r="394" spans="1:23" x14ac:dyDescent="0.2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</row>
    <row r="395" spans="1:23" x14ac:dyDescent="0.2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</row>
    <row r="396" spans="1:23" x14ac:dyDescent="0.2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</row>
    <row r="397" spans="1:23" x14ac:dyDescent="0.2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</row>
    <row r="398" spans="1:23" x14ac:dyDescent="0.2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</row>
    <row r="399" spans="1:23" x14ac:dyDescent="0.2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</row>
    <row r="400" spans="1:23" x14ac:dyDescent="0.2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</row>
    <row r="401" spans="1:23" x14ac:dyDescent="0.2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</row>
    <row r="402" spans="1:23" x14ac:dyDescent="0.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</row>
    <row r="403" spans="1:23" x14ac:dyDescent="0.2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</row>
    <row r="404" spans="1:23" x14ac:dyDescent="0.2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</row>
    <row r="405" spans="1:23" x14ac:dyDescent="0.2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</row>
    <row r="406" spans="1:23" x14ac:dyDescent="0.2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</row>
    <row r="407" spans="1:23" x14ac:dyDescent="0.2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</row>
    <row r="408" spans="1:23" x14ac:dyDescent="0.2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</row>
    <row r="409" spans="1:23" x14ac:dyDescent="0.2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</row>
    <row r="410" spans="1:23" x14ac:dyDescent="0.2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</row>
    <row r="411" spans="1:23" x14ac:dyDescent="0.2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</row>
    <row r="412" spans="1:23" x14ac:dyDescent="0.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</row>
    <row r="413" spans="1:23" x14ac:dyDescent="0.2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</row>
    <row r="414" spans="1:23" x14ac:dyDescent="0.2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</row>
    <row r="415" spans="1:23" x14ac:dyDescent="0.2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</row>
    <row r="416" spans="1:23" x14ac:dyDescent="0.2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</row>
    <row r="417" spans="1:23" x14ac:dyDescent="0.2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</row>
    <row r="418" spans="1:23" x14ac:dyDescent="0.2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</row>
    <row r="419" spans="1:23" x14ac:dyDescent="0.2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</row>
    <row r="420" spans="1:23" x14ac:dyDescent="0.2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</row>
    <row r="421" spans="1:23" x14ac:dyDescent="0.2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</row>
    <row r="422" spans="1:23" x14ac:dyDescent="0.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</row>
    <row r="423" spans="1:23" x14ac:dyDescent="0.2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</row>
    <row r="424" spans="1:23" x14ac:dyDescent="0.2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</row>
    <row r="425" spans="1:23" x14ac:dyDescent="0.2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</row>
    <row r="426" spans="1:23" x14ac:dyDescent="0.2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</row>
    <row r="427" spans="1:23" x14ac:dyDescent="0.2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</row>
    <row r="428" spans="1:23" x14ac:dyDescent="0.2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</row>
    <row r="429" spans="1:23" x14ac:dyDescent="0.2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</row>
    <row r="430" spans="1:23" x14ac:dyDescent="0.2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</row>
    <row r="431" spans="1:23" x14ac:dyDescent="0.2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</row>
    <row r="432" spans="1:23" x14ac:dyDescent="0.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</row>
    <row r="433" spans="1:23" x14ac:dyDescent="0.2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</row>
    <row r="434" spans="1:23" x14ac:dyDescent="0.2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</row>
    <row r="435" spans="1:23" x14ac:dyDescent="0.2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</row>
    <row r="436" spans="1:23" x14ac:dyDescent="0.2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</row>
    <row r="437" spans="1:23" x14ac:dyDescent="0.2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</row>
    <row r="438" spans="1:23" x14ac:dyDescent="0.2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</row>
    <row r="439" spans="1:23" x14ac:dyDescent="0.2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</row>
    <row r="440" spans="1:23" x14ac:dyDescent="0.2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</row>
    <row r="441" spans="1:23" x14ac:dyDescent="0.2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</row>
    <row r="442" spans="1:23" x14ac:dyDescent="0.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</row>
    <row r="443" spans="1:23" x14ac:dyDescent="0.2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</row>
    <row r="444" spans="1:23" x14ac:dyDescent="0.2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</row>
    <row r="445" spans="1:23" x14ac:dyDescent="0.2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</row>
    <row r="446" spans="1:23" x14ac:dyDescent="0.2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</row>
    <row r="447" spans="1:23" x14ac:dyDescent="0.2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</row>
    <row r="448" spans="1:23" x14ac:dyDescent="0.2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</row>
    <row r="449" spans="1:23" x14ac:dyDescent="0.2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</row>
    <row r="450" spans="1:23" x14ac:dyDescent="0.2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</row>
    <row r="451" spans="1:23" x14ac:dyDescent="0.2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</row>
    <row r="452" spans="1:23" x14ac:dyDescent="0.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</row>
    <row r="453" spans="1:23" x14ac:dyDescent="0.2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</row>
    <row r="454" spans="1:23" x14ac:dyDescent="0.2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</row>
    <row r="455" spans="1:23" x14ac:dyDescent="0.2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</row>
    <row r="456" spans="1:23" x14ac:dyDescent="0.2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</row>
    <row r="457" spans="1:23" x14ac:dyDescent="0.2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</row>
    <row r="458" spans="1:23" x14ac:dyDescent="0.2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</row>
    <row r="459" spans="1:23" x14ac:dyDescent="0.2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</row>
    <row r="460" spans="1:23" x14ac:dyDescent="0.2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</row>
    <row r="461" spans="1:23" x14ac:dyDescent="0.2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</row>
    <row r="462" spans="1:23" x14ac:dyDescent="0.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</row>
    <row r="463" spans="1:23" x14ac:dyDescent="0.2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</row>
    <row r="464" spans="1:23" x14ac:dyDescent="0.2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</row>
    <row r="465" spans="1:23" x14ac:dyDescent="0.2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</row>
    <row r="466" spans="1:23" x14ac:dyDescent="0.2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</row>
    <row r="467" spans="1:23" x14ac:dyDescent="0.2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</row>
    <row r="468" spans="1:23" x14ac:dyDescent="0.2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</row>
    <row r="469" spans="1:23" x14ac:dyDescent="0.2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</row>
    <row r="470" spans="1:23" x14ac:dyDescent="0.2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</row>
    <row r="471" spans="1:23" x14ac:dyDescent="0.2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</row>
    <row r="472" spans="1:23" x14ac:dyDescent="0.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</row>
    <row r="473" spans="1:23" x14ac:dyDescent="0.2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</row>
    <row r="474" spans="1:23" x14ac:dyDescent="0.2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</row>
    <row r="475" spans="1:23" x14ac:dyDescent="0.2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</row>
    <row r="476" spans="1:23" x14ac:dyDescent="0.2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</row>
    <row r="477" spans="1:23" x14ac:dyDescent="0.2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</row>
    <row r="478" spans="1:23" x14ac:dyDescent="0.2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</row>
    <row r="479" spans="1:23" x14ac:dyDescent="0.2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</row>
    <row r="480" spans="1:23" x14ac:dyDescent="0.2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</row>
    <row r="481" spans="1:23" x14ac:dyDescent="0.2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</row>
    <row r="482" spans="1:23" x14ac:dyDescent="0.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</row>
    <row r="483" spans="1:23" x14ac:dyDescent="0.2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</row>
    <row r="484" spans="1:23" x14ac:dyDescent="0.2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</row>
    <row r="485" spans="1:23" x14ac:dyDescent="0.2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</row>
    <row r="486" spans="1:23" x14ac:dyDescent="0.2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</row>
    <row r="487" spans="1:23" x14ac:dyDescent="0.2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</row>
    <row r="488" spans="1:23" x14ac:dyDescent="0.2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</row>
    <row r="489" spans="1:23" x14ac:dyDescent="0.2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</row>
    <row r="490" spans="1:23" x14ac:dyDescent="0.2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</row>
    <row r="491" spans="1:23" x14ac:dyDescent="0.2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</row>
    <row r="492" spans="1:23" x14ac:dyDescent="0.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</row>
    <row r="493" spans="1:23" x14ac:dyDescent="0.2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</row>
    <row r="494" spans="1:23" x14ac:dyDescent="0.2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</row>
    <row r="495" spans="1:23" x14ac:dyDescent="0.2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</row>
    <row r="496" spans="1:23" x14ac:dyDescent="0.2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</row>
    <row r="497" spans="1:23" x14ac:dyDescent="0.2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</row>
    <row r="498" spans="1:23" x14ac:dyDescent="0.2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</row>
    <row r="499" spans="1:23" x14ac:dyDescent="0.2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</row>
    <row r="500" spans="1:23" x14ac:dyDescent="0.2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</row>
    <row r="501" spans="1:23" x14ac:dyDescent="0.2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</row>
    <row r="502" spans="1:23" x14ac:dyDescent="0.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</row>
    <row r="503" spans="1:23" x14ac:dyDescent="0.2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</row>
    <row r="504" spans="1:23" x14ac:dyDescent="0.2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</row>
    <row r="505" spans="1:23" x14ac:dyDescent="0.2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</row>
    <row r="506" spans="1:23" x14ac:dyDescent="0.2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</row>
    <row r="507" spans="1:23" x14ac:dyDescent="0.2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</row>
    <row r="508" spans="1:23" x14ac:dyDescent="0.2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</row>
    <row r="509" spans="1:23" x14ac:dyDescent="0.2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</row>
    <row r="510" spans="1:23" x14ac:dyDescent="0.2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</row>
    <row r="511" spans="1:23" x14ac:dyDescent="0.2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</row>
    <row r="512" spans="1:23" x14ac:dyDescent="0.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</row>
    <row r="513" spans="1:23" x14ac:dyDescent="0.2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</row>
    <row r="514" spans="1:23" x14ac:dyDescent="0.2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</row>
    <row r="515" spans="1:23" x14ac:dyDescent="0.2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</row>
    <row r="516" spans="1:23" x14ac:dyDescent="0.2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</row>
    <row r="517" spans="1:23" x14ac:dyDescent="0.2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</row>
    <row r="518" spans="1:23" x14ac:dyDescent="0.2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</row>
    <row r="519" spans="1:23" x14ac:dyDescent="0.2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</row>
    <row r="520" spans="1:23" x14ac:dyDescent="0.2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</row>
    <row r="521" spans="1:23" x14ac:dyDescent="0.2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</row>
    <row r="522" spans="1:23" x14ac:dyDescent="0.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</row>
    <row r="523" spans="1:23" x14ac:dyDescent="0.2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</row>
    <row r="524" spans="1:23" x14ac:dyDescent="0.2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</row>
    <row r="525" spans="1:23" x14ac:dyDescent="0.2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</row>
    <row r="526" spans="1:23" x14ac:dyDescent="0.2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</row>
    <row r="527" spans="1:23" x14ac:dyDescent="0.2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</row>
    <row r="528" spans="1:23" x14ac:dyDescent="0.2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</row>
    <row r="529" spans="1:23" x14ac:dyDescent="0.2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</row>
    <row r="530" spans="1:23" x14ac:dyDescent="0.2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</row>
    <row r="531" spans="1:23" x14ac:dyDescent="0.2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</row>
    <row r="532" spans="1:23" x14ac:dyDescent="0.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</row>
    <row r="533" spans="1:23" x14ac:dyDescent="0.2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</row>
    <row r="534" spans="1:23" x14ac:dyDescent="0.2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</row>
    <row r="535" spans="1:23" x14ac:dyDescent="0.2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</row>
    <row r="536" spans="1:23" x14ac:dyDescent="0.2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</row>
    <row r="537" spans="1:23" x14ac:dyDescent="0.2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</row>
    <row r="538" spans="1:23" x14ac:dyDescent="0.2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</row>
    <row r="539" spans="1:23" x14ac:dyDescent="0.2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</row>
    <row r="540" spans="1:23" x14ac:dyDescent="0.2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</row>
    <row r="541" spans="1:23" x14ac:dyDescent="0.2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</row>
    <row r="542" spans="1:23" x14ac:dyDescent="0.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</row>
    <row r="543" spans="1:23" x14ac:dyDescent="0.2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</row>
    <row r="544" spans="1:23" x14ac:dyDescent="0.2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</row>
    <row r="545" spans="1:23" x14ac:dyDescent="0.2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</row>
    <row r="546" spans="1:23" x14ac:dyDescent="0.2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</row>
    <row r="547" spans="1:23" x14ac:dyDescent="0.2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</row>
    <row r="548" spans="1:23" x14ac:dyDescent="0.2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</row>
    <row r="549" spans="1:23" x14ac:dyDescent="0.2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</row>
    <row r="550" spans="1:23" x14ac:dyDescent="0.2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</row>
    <row r="551" spans="1:23" x14ac:dyDescent="0.2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</row>
    <row r="552" spans="1:23" x14ac:dyDescent="0.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</row>
    <row r="553" spans="1:23" x14ac:dyDescent="0.2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</row>
    <row r="554" spans="1:23" x14ac:dyDescent="0.2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</row>
    <row r="555" spans="1:23" x14ac:dyDescent="0.2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</row>
    <row r="556" spans="1:23" x14ac:dyDescent="0.2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</row>
    <row r="557" spans="1:23" x14ac:dyDescent="0.2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</row>
    <row r="558" spans="1:23" x14ac:dyDescent="0.2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</row>
    <row r="559" spans="1:23" x14ac:dyDescent="0.2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</row>
    <row r="560" spans="1:23" x14ac:dyDescent="0.2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</row>
    <row r="561" spans="1:23" x14ac:dyDescent="0.2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</row>
    <row r="562" spans="1:23" x14ac:dyDescent="0.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</row>
    <row r="563" spans="1:23" x14ac:dyDescent="0.2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</row>
    <row r="564" spans="1:23" x14ac:dyDescent="0.2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</row>
    <row r="565" spans="1:23" x14ac:dyDescent="0.2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</row>
    <row r="566" spans="1:23" x14ac:dyDescent="0.2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</row>
    <row r="567" spans="1:23" x14ac:dyDescent="0.2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</row>
    <row r="568" spans="1:23" x14ac:dyDescent="0.2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</row>
    <row r="569" spans="1:23" x14ac:dyDescent="0.2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</row>
    <row r="570" spans="1:23" x14ac:dyDescent="0.2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</row>
    <row r="571" spans="1:23" x14ac:dyDescent="0.2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</row>
    <row r="572" spans="1:23" x14ac:dyDescent="0.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</row>
    <row r="573" spans="1:23" x14ac:dyDescent="0.2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</row>
    <row r="574" spans="1:23" x14ac:dyDescent="0.2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</row>
    <row r="575" spans="1:23" x14ac:dyDescent="0.2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</row>
    <row r="576" spans="1:23" x14ac:dyDescent="0.2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</row>
    <row r="577" spans="1:23" x14ac:dyDescent="0.2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</row>
    <row r="578" spans="1:23" x14ac:dyDescent="0.2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</row>
    <row r="579" spans="1:23" x14ac:dyDescent="0.2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</row>
    <row r="580" spans="1:23" x14ac:dyDescent="0.2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</row>
    <row r="581" spans="1:23" x14ac:dyDescent="0.2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</row>
    <row r="582" spans="1:23" x14ac:dyDescent="0.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</row>
    <row r="583" spans="1:23" x14ac:dyDescent="0.2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</row>
    <row r="584" spans="1:23" x14ac:dyDescent="0.2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</row>
    <row r="585" spans="1:23" x14ac:dyDescent="0.2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</row>
    <row r="586" spans="1:23" x14ac:dyDescent="0.2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</row>
    <row r="587" spans="1:23" x14ac:dyDescent="0.2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</row>
    <row r="588" spans="1:23" x14ac:dyDescent="0.2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</row>
    <row r="589" spans="1:23" x14ac:dyDescent="0.2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</row>
    <row r="590" spans="1:23" x14ac:dyDescent="0.2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</row>
    <row r="591" spans="1:23" x14ac:dyDescent="0.2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</row>
    <row r="592" spans="1:23" x14ac:dyDescent="0.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</row>
    <row r="593" spans="1:23" x14ac:dyDescent="0.2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</row>
    <row r="594" spans="1:23" x14ac:dyDescent="0.2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</row>
    <row r="595" spans="1:23" x14ac:dyDescent="0.2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</row>
    <row r="596" spans="1:23" x14ac:dyDescent="0.2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</row>
    <row r="597" spans="1:23" x14ac:dyDescent="0.2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</row>
    <row r="598" spans="1:23" x14ac:dyDescent="0.2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</row>
    <row r="599" spans="1:23" x14ac:dyDescent="0.2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</row>
    <row r="600" spans="1:23" x14ac:dyDescent="0.2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</row>
    <row r="601" spans="1:23" x14ac:dyDescent="0.2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</row>
    <row r="602" spans="1:23" x14ac:dyDescent="0.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</row>
    <row r="603" spans="1:23" x14ac:dyDescent="0.2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</row>
    <row r="604" spans="1:23" x14ac:dyDescent="0.2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</row>
    <row r="605" spans="1:23" x14ac:dyDescent="0.2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</row>
    <row r="606" spans="1:23" x14ac:dyDescent="0.2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</row>
    <row r="607" spans="1:23" x14ac:dyDescent="0.2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</row>
    <row r="608" spans="1:23" x14ac:dyDescent="0.2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</row>
    <row r="609" spans="1:23" x14ac:dyDescent="0.2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</row>
    <row r="610" spans="1:23" x14ac:dyDescent="0.2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</row>
    <row r="611" spans="1:23" x14ac:dyDescent="0.2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</row>
    <row r="612" spans="1:23" x14ac:dyDescent="0.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</row>
    <row r="613" spans="1:23" x14ac:dyDescent="0.2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</row>
    <row r="614" spans="1:23" x14ac:dyDescent="0.2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</row>
    <row r="615" spans="1:23" x14ac:dyDescent="0.2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</row>
    <row r="616" spans="1:23" x14ac:dyDescent="0.2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</row>
    <row r="617" spans="1:23" x14ac:dyDescent="0.2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</row>
    <row r="618" spans="1:23" x14ac:dyDescent="0.2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</row>
    <row r="619" spans="1:23" x14ac:dyDescent="0.2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</row>
    <row r="620" spans="1:23" x14ac:dyDescent="0.2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</row>
    <row r="621" spans="1:23" x14ac:dyDescent="0.2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</row>
    <row r="622" spans="1:23" x14ac:dyDescent="0.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</row>
    <row r="623" spans="1:23" x14ac:dyDescent="0.2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</row>
    <row r="624" spans="1:23" x14ac:dyDescent="0.2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</row>
    <row r="625" spans="1:23" x14ac:dyDescent="0.2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</row>
    <row r="626" spans="1:23" x14ac:dyDescent="0.2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</row>
    <row r="627" spans="1:23" x14ac:dyDescent="0.2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</row>
    <row r="628" spans="1:23" x14ac:dyDescent="0.2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</row>
    <row r="629" spans="1:23" x14ac:dyDescent="0.2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</row>
    <row r="630" spans="1:23" x14ac:dyDescent="0.2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</row>
    <row r="631" spans="1:23" x14ac:dyDescent="0.2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</row>
    <row r="632" spans="1:23" x14ac:dyDescent="0.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</row>
    <row r="633" spans="1:23" x14ac:dyDescent="0.2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</row>
    <row r="634" spans="1:23" x14ac:dyDescent="0.2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</row>
    <row r="635" spans="1:23" x14ac:dyDescent="0.2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</row>
    <row r="636" spans="1:23" x14ac:dyDescent="0.2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</row>
    <row r="637" spans="1:23" x14ac:dyDescent="0.2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</row>
    <row r="638" spans="1:23" x14ac:dyDescent="0.2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</row>
    <row r="639" spans="1:23" x14ac:dyDescent="0.2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</row>
    <row r="640" spans="1:23" x14ac:dyDescent="0.2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</row>
    <row r="641" spans="1:23" x14ac:dyDescent="0.2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</row>
    <row r="642" spans="1:23" x14ac:dyDescent="0.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</row>
    <row r="643" spans="1:23" x14ac:dyDescent="0.2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</row>
    <row r="644" spans="1:23" x14ac:dyDescent="0.2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</row>
    <row r="645" spans="1:23" x14ac:dyDescent="0.2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</row>
    <row r="646" spans="1:23" x14ac:dyDescent="0.2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</row>
    <row r="647" spans="1:23" x14ac:dyDescent="0.2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</row>
    <row r="648" spans="1:23" x14ac:dyDescent="0.2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</row>
    <row r="649" spans="1:23" x14ac:dyDescent="0.2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</row>
    <row r="650" spans="1:23" x14ac:dyDescent="0.2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</row>
    <row r="651" spans="1:23" x14ac:dyDescent="0.2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</row>
    <row r="652" spans="1:23" x14ac:dyDescent="0.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</row>
    <row r="653" spans="1:23" x14ac:dyDescent="0.2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</row>
    <row r="654" spans="1:23" x14ac:dyDescent="0.2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</row>
    <row r="655" spans="1:23" x14ac:dyDescent="0.2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</row>
    <row r="656" spans="1:23" x14ac:dyDescent="0.2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</row>
    <row r="657" spans="1:23" x14ac:dyDescent="0.2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</row>
    <row r="658" spans="1:23" x14ac:dyDescent="0.2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</row>
    <row r="659" spans="1:23" x14ac:dyDescent="0.2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</row>
    <row r="660" spans="1:23" x14ac:dyDescent="0.2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</row>
    <row r="661" spans="1:23" x14ac:dyDescent="0.2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</row>
    <row r="662" spans="1:23" x14ac:dyDescent="0.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</row>
    <row r="663" spans="1:23" x14ac:dyDescent="0.2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</row>
    <row r="664" spans="1:23" x14ac:dyDescent="0.2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</row>
    <row r="665" spans="1:23" x14ac:dyDescent="0.2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</row>
    <row r="666" spans="1:23" x14ac:dyDescent="0.2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</row>
    <row r="667" spans="1:23" x14ac:dyDescent="0.2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</row>
    <row r="668" spans="1:23" x14ac:dyDescent="0.2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</row>
    <row r="669" spans="1:23" x14ac:dyDescent="0.2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</row>
    <row r="670" spans="1:23" x14ac:dyDescent="0.2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</row>
    <row r="671" spans="1:23" x14ac:dyDescent="0.2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</row>
    <row r="672" spans="1:23" x14ac:dyDescent="0.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</row>
    <row r="673" spans="1:23" x14ac:dyDescent="0.2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</row>
    <row r="674" spans="1:23" x14ac:dyDescent="0.2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</row>
    <row r="675" spans="1:23" x14ac:dyDescent="0.2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</row>
    <row r="676" spans="1:23" x14ac:dyDescent="0.2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</row>
    <row r="677" spans="1:23" x14ac:dyDescent="0.2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</row>
    <row r="678" spans="1:23" x14ac:dyDescent="0.2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</row>
    <row r="679" spans="1:23" x14ac:dyDescent="0.2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</row>
    <row r="680" spans="1:23" x14ac:dyDescent="0.2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</row>
    <row r="681" spans="1:23" x14ac:dyDescent="0.2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</row>
    <row r="682" spans="1:23" x14ac:dyDescent="0.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</row>
    <row r="683" spans="1:23" x14ac:dyDescent="0.2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</row>
    <row r="684" spans="1:23" x14ac:dyDescent="0.2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</row>
    <row r="685" spans="1:23" x14ac:dyDescent="0.2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</row>
    <row r="686" spans="1:23" x14ac:dyDescent="0.2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</row>
    <row r="687" spans="1:23" x14ac:dyDescent="0.2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</row>
    <row r="688" spans="1:23" x14ac:dyDescent="0.2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</row>
    <row r="689" spans="1:23" x14ac:dyDescent="0.2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</row>
    <row r="690" spans="1:23" x14ac:dyDescent="0.2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</row>
    <row r="691" spans="1:23" x14ac:dyDescent="0.2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</row>
    <row r="692" spans="1:23" x14ac:dyDescent="0.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</row>
    <row r="693" spans="1:23" x14ac:dyDescent="0.2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</row>
    <row r="694" spans="1:23" x14ac:dyDescent="0.2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</row>
    <row r="695" spans="1:23" x14ac:dyDescent="0.2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</row>
    <row r="696" spans="1:23" x14ac:dyDescent="0.2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</row>
    <row r="697" spans="1:23" x14ac:dyDescent="0.2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</row>
    <row r="698" spans="1:23" x14ac:dyDescent="0.2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</row>
    <row r="699" spans="1:23" x14ac:dyDescent="0.2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</row>
    <row r="700" spans="1:23" x14ac:dyDescent="0.2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</row>
    <row r="701" spans="1:23" x14ac:dyDescent="0.2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</row>
    <row r="702" spans="1:23" x14ac:dyDescent="0.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</row>
    <row r="703" spans="1:23" x14ac:dyDescent="0.2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</row>
    <row r="704" spans="1:23" x14ac:dyDescent="0.2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</row>
    <row r="705" spans="1:23" x14ac:dyDescent="0.2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</row>
    <row r="706" spans="1:23" x14ac:dyDescent="0.2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</row>
    <row r="707" spans="1:23" x14ac:dyDescent="0.2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</row>
    <row r="708" spans="1:23" x14ac:dyDescent="0.2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</row>
    <row r="709" spans="1:23" x14ac:dyDescent="0.2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</row>
    <row r="710" spans="1:23" x14ac:dyDescent="0.2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</row>
    <row r="711" spans="1:23" x14ac:dyDescent="0.2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</row>
    <row r="712" spans="1:23" x14ac:dyDescent="0.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</row>
    <row r="713" spans="1:23" x14ac:dyDescent="0.2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</row>
    <row r="714" spans="1:23" x14ac:dyDescent="0.2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</row>
    <row r="715" spans="1:23" x14ac:dyDescent="0.2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</row>
    <row r="716" spans="1:23" x14ac:dyDescent="0.2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</row>
    <row r="717" spans="1:23" x14ac:dyDescent="0.2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</row>
    <row r="718" spans="1:23" x14ac:dyDescent="0.2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</row>
    <row r="719" spans="1:23" x14ac:dyDescent="0.2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</row>
    <row r="720" spans="1:23" x14ac:dyDescent="0.2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</row>
    <row r="721" spans="1:23" x14ac:dyDescent="0.2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</row>
    <row r="722" spans="1:23" x14ac:dyDescent="0.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</row>
    <row r="723" spans="1:23" x14ac:dyDescent="0.2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</row>
    <row r="724" spans="1:23" x14ac:dyDescent="0.2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</row>
    <row r="725" spans="1:23" x14ac:dyDescent="0.2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</row>
    <row r="726" spans="1:23" x14ac:dyDescent="0.2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</row>
    <row r="727" spans="1:23" x14ac:dyDescent="0.2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</row>
    <row r="728" spans="1:23" x14ac:dyDescent="0.2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</row>
    <row r="729" spans="1:23" x14ac:dyDescent="0.2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</row>
    <row r="730" spans="1:23" x14ac:dyDescent="0.2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</row>
    <row r="731" spans="1:23" x14ac:dyDescent="0.2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</row>
    <row r="732" spans="1:23" x14ac:dyDescent="0.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</row>
    <row r="733" spans="1:23" x14ac:dyDescent="0.2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</row>
    <row r="734" spans="1:23" x14ac:dyDescent="0.2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</row>
    <row r="735" spans="1:23" x14ac:dyDescent="0.2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</row>
    <row r="736" spans="1:23" x14ac:dyDescent="0.2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</row>
    <row r="737" spans="1:23" x14ac:dyDescent="0.2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</row>
    <row r="738" spans="1:23" x14ac:dyDescent="0.2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</row>
    <row r="739" spans="1:23" x14ac:dyDescent="0.2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</row>
    <row r="740" spans="1:23" x14ac:dyDescent="0.2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</row>
    <row r="741" spans="1:23" x14ac:dyDescent="0.2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</row>
    <row r="742" spans="1:23" x14ac:dyDescent="0.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</row>
    <row r="743" spans="1:23" x14ac:dyDescent="0.2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</row>
    <row r="744" spans="1:23" x14ac:dyDescent="0.2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</row>
    <row r="745" spans="1:23" x14ac:dyDescent="0.2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</row>
    <row r="746" spans="1:23" x14ac:dyDescent="0.2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</row>
    <row r="747" spans="1:23" x14ac:dyDescent="0.2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</row>
    <row r="748" spans="1:23" x14ac:dyDescent="0.2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</row>
    <row r="749" spans="1:23" x14ac:dyDescent="0.2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</row>
    <row r="750" spans="1:23" x14ac:dyDescent="0.2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</row>
    <row r="751" spans="1:23" x14ac:dyDescent="0.2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</row>
    <row r="752" spans="1:23" x14ac:dyDescent="0.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</row>
    <row r="753" spans="1:23" x14ac:dyDescent="0.2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</row>
    <row r="754" spans="1:23" x14ac:dyDescent="0.2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</row>
    <row r="755" spans="1:23" x14ac:dyDescent="0.2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</row>
    <row r="756" spans="1:23" x14ac:dyDescent="0.2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</row>
    <row r="757" spans="1:23" x14ac:dyDescent="0.2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</row>
    <row r="758" spans="1:23" x14ac:dyDescent="0.2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</row>
    <row r="759" spans="1:23" x14ac:dyDescent="0.2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</row>
    <row r="760" spans="1:23" x14ac:dyDescent="0.2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</row>
    <row r="761" spans="1:23" x14ac:dyDescent="0.2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</row>
    <row r="762" spans="1:23" x14ac:dyDescent="0.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</row>
    <row r="763" spans="1:23" x14ac:dyDescent="0.2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</row>
    <row r="764" spans="1:23" x14ac:dyDescent="0.2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</row>
    <row r="765" spans="1:23" x14ac:dyDescent="0.2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</row>
    <row r="766" spans="1:23" x14ac:dyDescent="0.2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</row>
    <row r="767" spans="1:23" x14ac:dyDescent="0.2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</row>
    <row r="768" spans="1:23" x14ac:dyDescent="0.2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</row>
    <row r="769" spans="1:23" x14ac:dyDescent="0.2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</row>
    <row r="770" spans="1:23" x14ac:dyDescent="0.2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</row>
    <row r="771" spans="1:23" x14ac:dyDescent="0.2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</row>
    <row r="772" spans="1:23" x14ac:dyDescent="0.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</row>
    <row r="773" spans="1:23" x14ac:dyDescent="0.2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</row>
    <row r="774" spans="1:23" x14ac:dyDescent="0.2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</row>
    <row r="775" spans="1:23" x14ac:dyDescent="0.2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</row>
    <row r="776" spans="1:23" x14ac:dyDescent="0.2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</row>
    <row r="777" spans="1:23" x14ac:dyDescent="0.2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</row>
    <row r="778" spans="1:23" x14ac:dyDescent="0.2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</row>
    <row r="779" spans="1:23" x14ac:dyDescent="0.2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</row>
    <row r="780" spans="1:23" x14ac:dyDescent="0.2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</row>
    <row r="781" spans="1:23" x14ac:dyDescent="0.2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</row>
    <row r="782" spans="1:23" x14ac:dyDescent="0.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</row>
    <row r="783" spans="1:23" x14ac:dyDescent="0.2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</row>
    <row r="784" spans="1:23" x14ac:dyDescent="0.2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</row>
    <row r="785" spans="1:23" x14ac:dyDescent="0.2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</row>
    <row r="786" spans="1:23" x14ac:dyDescent="0.2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</row>
    <row r="787" spans="1:23" x14ac:dyDescent="0.2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</row>
    <row r="788" spans="1:23" x14ac:dyDescent="0.2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</row>
    <row r="789" spans="1:23" x14ac:dyDescent="0.2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</row>
    <row r="790" spans="1:23" x14ac:dyDescent="0.2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</row>
    <row r="791" spans="1:23" x14ac:dyDescent="0.2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</row>
    <row r="792" spans="1:23" x14ac:dyDescent="0.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</row>
    <row r="793" spans="1:23" x14ac:dyDescent="0.2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</row>
    <row r="794" spans="1:23" x14ac:dyDescent="0.2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</row>
    <row r="795" spans="1:23" x14ac:dyDescent="0.2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</row>
    <row r="796" spans="1:23" x14ac:dyDescent="0.2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</row>
    <row r="797" spans="1:23" x14ac:dyDescent="0.2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</row>
    <row r="798" spans="1:23" x14ac:dyDescent="0.2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</row>
    <row r="799" spans="1:23" x14ac:dyDescent="0.2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</row>
    <row r="800" spans="1:23" x14ac:dyDescent="0.2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</row>
    <row r="801" spans="1:23" x14ac:dyDescent="0.2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</row>
    <row r="802" spans="1:23" x14ac:dyDescent="0.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</row>
    <row r="803" spans="1:23" x14ac:dyDescent="0.2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</row>
    <row r="804" spans="1:23" x14ac:dyDescent="0.2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</row>
    <row r="805" spans="1:23" x14ac:dyDescent="0.2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</row>
    <row r="806" spans="1:23" x14ac:dyDescent="0.2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</row>
    <row r="807" spans="1:23" x14ac:dyDescent="0.2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</row>
    <row r="808" spans="1:23" x14ac:dyDescent="0.2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</row>
    <row r="809" spans="1:23" x14ac:dyDescent="0.2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</row>
    <row r="810" spans="1:23" x14ac:dyDescent="0.2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</row>
    <row r="811" spans="1:23" x14ac:dyDescent="0.2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</row>
    <row r="812" spans="1:23" x14ac:dyDescent="0.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</row>
    <row r="813" spans="1:23" x14ac:dyDescent="0.2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</row>
    <row r="814" spans="1:23" x14ac:dyDescent="0.2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</row>
    <row r="815" spans="1:23" x14ac:dyDescent="0.2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</row>
    <row r="816" spans="1:23" x14ac:dyDescent="0.2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</row>
    <row r="817" spans="1:23" x14ac:dyDescent="0.2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</row>
    <row r="818" spans="1:23" x14ac:dyDescent="0.2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</row>
    <row r="819" spans="1:23" x14ac:dyDescent="0.2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</row>
    <row r="820" spans="1:23" x14ac:dyDescent="0.2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</row>
    <row r="821" spans="1:23" x14ac:dyDescent="0.2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</row>
    <row r="822" spans="1:23" x14ac:dyDescent="0.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</row>
    <row r="823" spans="1:23" x14ac:dyDescent="0.2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</row>
    <row r="824" spans="1:23" x14ac:dyDescent="0.2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</row>
    <row r="825" spans="1:23" x14ac:dyDescent="0.2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</row>
    <row r="826" spans="1:23" x14ac:dyDescent="0.2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</row>
    <row r="827" spans="1:23" x14ac:dyDescent="0.2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</row>
    <row r="828" spans="1:23" x14ac:dyDescent="0.2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</row>
    <row r="829" spans="1:23" x14ac:dyDescent="0.2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</row>
    <row r="830" spans="1:23" x14ac:dyDescent="0.2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</row>
    <row r="831" spans="1:23" x14ac:dyDescent="0.2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</row>
    <row r="832" spans="1:23" x14ac:dyDescent="0.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</row>
    <row r="833" spans="1:23" x14ac:dyDescent="0.2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</row>
    <row r="834" spans="1:23" x14ac:dyDescent="0.2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</row>
    <row r="835" spans="1:23" x14ac:dyDescent="0.2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</row>
    <row r="836" spans="1:23" x14ac:dyDescent="0.2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</row>
    <row r="837" spans="1:23" x14ac:dyDescent="0.2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</row>
    <row r="838" spans="1:23" x14ac:dyDescent="0.2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</row>
    <row r="839" spans="1:23" x14ac:dyDescent="0.2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</row>
    <row r="840" spans="1:23" x14ac:dyDescent="0.2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</row>
    <row r="841" spans="1:23" x14ac:dyDescent="0.2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</row>
    <row r="842" spans="1:23" x14ac:dyDescent="0.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</row>
    <row r="843" spans="1:23" x14ac:dyDescent="0.2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</row>
    <row r="844" spans="1:23" x14ac:dyDescent="0.2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</row>
    <row r="845" spans="1:23" x14ac:dyDescent="0.2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</row>
    <row r="846" spans="1:23" x14ac:dyDescent="0.2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</row>
    <row r="847" spans="1:23" x14ac:dyDescent="0.2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</row>
    <row r="848" spans="1:23" x14ac:dyDescent="0.2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</row>
    <row r="849" spans="1:23" x14ac:dyDescent="0.2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</row>
    <row r="850" spans="1:23" x14ac:dyDescent="0.2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</row>
    <row r="851" spans="1:23" x14ac:dyDescent="0.2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</row>
    <row r="852" spans="1:23" x14ac:dyDescent="0.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</row>
    <row r="853" spans="1:23" x14ac:dyDescent="0.2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</row>
    <row r="854" spans="1:23" x14ac:dyDescent="0.2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</row>
    <row r="855" spans="1:23" x14ac:dyDescent="0.2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</row>
    <row r="856" spans="1:23" x14ac:dyDescent="0.2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</row>
    <row r="857" spans="1:23" x14ac:dyDescent="0.2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</row>
    <row r="858" spans="1:23" x14ac:dyDescent="0.2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</row>
    <row r="859" spans="1:23" x14ac:dyDescent="0.2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</row>
    <row r="860" spans="1:23" x14ac:dyDescent="0.2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</row>
    <row r="861" spans="1:23" x14ac:dyDescent="0.2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</row>
    <row r="862" spans="1:23" x14ac:dyDescent="0.2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</row>
    <row r="863" spans="1:23" x14ac:dyDescent="0.2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</row>
    <row r="864" spans="1:23" x14ac:dyDescent="0.2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</row>
    <row r="865" spans="1:23" x14ac:dyDescent="0.2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</row>
    <row r="866" spans="1:23" x14ac:dyDescent="0.2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</row>
    <row r="867" spans="1:23" x14ac:dyDescent="0.2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</row>
    <row r="868" spans="1:23" x14ac:dyDescent="0.2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</row>
    <row r="869" spans="1:23" x14ac:dyDescent="0.2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</row>
    <row r="870" spans="1:23" x14ac:dyDescent="0.2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</row>
    <row r="871" spans="1:23" x14ac:dyDescent="0.2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</row>
    <row r="872" spans="1:23" x14ac:dyDescent="0.2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</row>
    <row r="873" spans="1:23" x14ac:dyDescent="0.2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</row>
    <row r="874" spans="1:23" x14ac:dyDescent="0.2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</row>
    <row r="875" spans="1:23" x14ac:dyDescent="0.2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</row>
    <row r="876" spans="1:23" x14ac:dyDescent="0.2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</row>
    <row r="877" spans="1:23" x14ac:dyDescent="0.2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</row>
    <row r="878" spans="1:23" x14ac:dyDescent="0.2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</row>
    <row r="879" spans="1:23" x14ac:dyDescent="0.2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</row>
    <row r="880" spans="1:23" x14ac:dyDescent="0.2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</row>
    <row r="881" spans="1:23" x14ac:dyDescent="0.2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</row>
    <row r="882" spans="1:23" x14ac:dyDescent="0.2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</row>
    <row r="883" spans="1:23" x14ac:dyDescent="0.2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</row>
    <row r="884" spans="1:23" x14ac:dyDescent="0.2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</row>
    <row r="885" spans="1:23" x14ac:dyDescent="0.2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</row>
    <row r="886" spans="1:23" x14ac:dyDescent="0.2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</row>
    <row r="887" spans="1:23" x14ac:dyDescent="0.2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</row>
    <row r="888" spans="1:23" x14ac:dyDescent="0.2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</row>
    <row r="889" spans="1:23" x14ac:dyDescent="0.2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</row>
    <row r="890" spans="1:23" x14ac:dyDescent="0.2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</row>
    <row r="891" spans="1:23" x14ac:dyDescent="0.2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</row>
    <row r="892" spans="1:23" x14ac:dyDescent="0.2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</row>
    <row r="893" spans="1:23" x14ac:dyDescent="0.2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</row>
    <row r="894" spans="1:23" x14ac:dyDescent="0.2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</row>
    <row r="895" spans="1:23" x14ac:dyDescent="0.2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</row>
    <row r="896" spans="1:23" x14ac:dyDescent="0.2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</row>
    <row r="897" spans="1:23" x14ac:dyDescent="0.2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</row>
    <row r="898" spans="1:23" x14ac:dyDescent="0.2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</row>
    <row r="899" spans="1:23" x14ac:dyDescent="0.2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</row>
    <row r="900" spans="1:23" x14ac:dyDescent="0.2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</row>
    <row r="901" spans="1:23" x14ac:dyDescent="0.2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</row>
    <row r="902" spans="1:23" x14ac:dyDescent="0.2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</row>
    <row r="903" spans="1:23" x14ac:dyDescent="0.2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</row>
    <row r="904" spans="1:23" x14ac:dyDescent="0.2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</row>
    <row r="905" spans="1:23" x14ac:dyDescent="0.2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</row>
    <row r="906" spans="1:23" x14ac:dyDescent="0.2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</row>
    <row r="907" spans="1:23" x14ac:dyDescent="0.2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</row>
    <row r="908" spans="1:23" x14ac:dyDescent="0.2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</row>
    <row r="909" spans="1:23" x14ac:dyDescent="0.2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</row>
    <row r="910" spans="1:23" x14ac:dyDescent="0.2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</row>
    <row r="911" spans="1:23" x14ac:dyDescent="0.2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</row>
    <row r="912" spans="1:23" x14ac:dyDescent="0.2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</row>
    <row r="913" spans="1:23" x14ac:dyDescent="0.2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</row>
    <row r="914" spans="1:23" x14ac:dyDescent="0.2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</row>
    <row r="915" spans="1:23" x14ac:dyDescent="0.2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</row>
    <row r="916" spans="1:23" x14ac:dyDescent="0.2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</row>
    <row r="917" spans="1:23" x14ac:dyDescent="0.2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</row>
    <row r="918" spans="1:23" x14ac:dyDescent="0.2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</row>
    <row r="919" spans="1:23" x14ac:dyDescent="0.2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</row>
    <row r="920" spans="1:23" x14ac:dyDescent="0.2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</row>
    <row r="921" spans="1:23" x14ac:dyDescent="0.2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</row>
    <row r="922" spans="1:23" x14ac:dyDescent="0.2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</row>
    <row r="923" spans="1:23" x14ac:dyDescent="0.2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</row>
    <row r="924" spans="1:23" x14ac:dyDescent="0.2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</row>
    <row r="925" spans="1:23" x14ac:dyDescent="0.2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</row>
    <row r="926" spans="1:23" x14ac:dyDescent="0.2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</row>
    <row r="927" spans="1:23" x14ac:dyDescent="0.2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</row>
    <row r="928" spans="1:23" x14ac:dyDescent="0.2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</row>
    <row r="929" spans="1:23" x14ac:dyDescent="0.2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</row>
    <row r="930" spans="1:23" x14ac:dyDescent="0.2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</row>
    <row r="931" spans="1:23" x14ac:dyDescent="0.2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</row>
    <row r="932" spans="1:23" x14ac:dyDescent="0.2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</row>
    <row r="933" spans="1:23" x14ac:dyDescent="0.2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</row>
    <row r="934" spans="1:23" x14ac:dyDescent="0.2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</row>
    <row r="935" spans="1:23" x14ac:dyDescent="0.2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</row>
    <row r="936" spans="1:23" x14ac:dyDescent="0.2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</row>
    <row r="937" spans="1:23" x14ac:dyDescent="0.2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</row>
    <row r="938" spans="1:23" x14ac:dyDescent="0.2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</row>
    <row r="939" spans="1:23" x14ac:dyDescent="0.2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</row>
    <row r="940" spans="1:23" x14ac:dyDescent="0.2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</row>
    <row r="941" spans="1:23" x14ac:dyDescent="0.2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</row>
    <row r="942" spans="1:23" x14ac:dyDescent="0.2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</row>
    <row r="943" spans="1:23" x14ac:dyDescent="0.2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</row>
    <row r="944" spans="1:23" x14ac:dyDescent="0.2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</row>
    <row r="945" spans="1:23" x14ac:dyDescent="0.2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</row>
    <row r="946" spans="1:23" x14ac:dyDescent="0.2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</row>
    <row r="947" spans="1:23" x14ac:dyDescent="0.2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</row>
    <row r="948" spans="1:23" x14ac:dyDescent="0.2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</row>
    <row r="949" spans="1:23" x14ac:dyDescent="0.2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</row>
    <row r="950" spans="1:23" x14ac:dyDescent="0.2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</row>
    <row r="951" spans="1:23" x14ac:dyDescent="0.2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</row>
    <row r="952" spans="1:23" x14ac:dyDescent="0.2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</row>
    <row r="953" spans="1:23" x14ac:dyDescent="0.2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</row>
    <row r="954" spans="1:23" x14ac:dyDescent="0.2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</row>
    <row r="955" spans="1:23" x14ac:dyDescent="0.2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</row>
    <row r="956" spans="1:23" x14ac:dyDescent="0.2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</row>
    <row r="957" spans="1:23" x14ac:dyDescent="0.2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</row>
    <row r="958" spans="1:23" x14ac:dyDescent="0.2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</row>
    <row r="959" spans="1:23" x14ac:dyDescent="0.2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</row>
    <row r="960" spans="1:23" x14ac:dyDescent="0.2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</row>
    <row r="961" spans="1:23" x14ac:dyDescent="0.2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</row>
    <row r="962" spans="1:23" x14ac:dyDescent="0.2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</row>
    <row r="963" spans="1:23" x14ac:dyDescent="0.2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Be-10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Darvill</dc:creator>
  <cp:lastModifiedBy>Christopher</cp:lastModifiedBy>
  <dcterms:created xsi:type="dcterms:W3CDTF">2021-07-13T10:55:23Z</dcterms:created>
  <dcterms:modified xsi:type="dcterms:W3CDTF">2022-03-29T14:57:57Z</dcterms:modified>
</cp:coreProperties>
</file>