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\Desktop\"/>
    </mc:Choice>
  </mc:AlternateContent>
  <xr:revisionPtr revIDLastSave="0" documentId="13_ncr:1_{37AC1431-1E4C-4814-B788-EE4F33831924}" xr6:coauthVersionLast="47" xr6:coauthVersionMax="47" xr10:uidLastSave="{00000000-0000-0000-0000-000000000000}"/>
  <bookViews>
    <workbookView xWindow="-120" yWindow="-120" windowWidth="38640" windowHeight="21240" xr2:uid="{57B57BAF-01D7-49A8-BD33-64E4EB74D2F3}"/>
  </bookViews>
  <sheets>
    <sheet name="Base case" sheetId="1" r:id="rId1"/>
    <sheet name="Higher diabetes costs" sheetId="7" r:id="rId2"/>
    <sheet name="Lower diabetes costs" sheetId="8" r:id="rId3"/>
    <sheet name="Higher diabetes prevalence" sheetId="13" r:id="rId4"/>
    <sheet name="Absenteeism + Presenteeism" sheetId="10" r:id="rId5"/>
    <sheet name="GBD prevalence" sheetId="6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7" i="1" l="1"/>
  <c r="R76" i="1"/>
  <c r="R75" i="1"/>
  <c r="R74" i="1"/>
  <c r="R73" i="1"/>
  <c r="R72" i="1"/>
  <c r="R71" i="1"/>
  <c r="F4" i="10"/>
  <c r="G4" i="10"/>
  <c r="F32" i="13"/>
  <c r="J32" i="13"/>
  <c r="F33" i="13"/>
  <c r="J33" i="13"/>
  <c r="F34" i="13"/>
  <c r="J34" i="13"/>
  <c r="F35" i="13"/>
  <c r="J35" i="13"/>
  <c r="F36" i="13"/>
  <c r="J36" i="13"/>
  <c r="F37" i="13"/>
  <c r="J37" i="13"/>
  <c r="J38" i="13"/>
  <c r="F45" i="13"/>
  <c r="J45" i="13"/>
  <c r="F46" i="13"/>
  <c r="J46" i="13"/>
  <c r="F47" i="13"/>
  <c r="J47" i="13"/>
  <c r="F48" i="13"/>
  <c r="J48" i="13"/>
  <c r="F49" i="13"/>
  <c r="J49" i="13"/>
  <c r="F50" i="13"/>
  <c r="J50" i="13"/>
  <c r="J51" i="13"/>
  <c r="M48" i="13"/>
  <c r="B85" i="13"/>
  <c r="F58" i="13"/>
  <c r="J58" i="13"/>
  <c r="F59" i="13"/>
  <c r="J59" i="13"/>
  <c r="F60" i="13"/>
  <c r="J60" i="13"/>
  <c r="F61" i="13"/>
  <c r="J61" i="13"/>
  <c r="F62" i="13"/>
  <c r="J62" i="13"/>
  <c r="F63" i="13"/>
  <c r="J63" i="13"/>
  <c r="J64" i="13"/>
  <c r="F71" i="13"/>
  <c r="J71" i="13"/>
  <c r="F72" i="13"/>
  <c r="J72" i="13"/>
  <c r="F73" i="13"/>
  <c r="J73" i="13"/>
  <c r="F74" i="13"/>
  <c r="J74" i="13"/>
  <c r="F75" i="13"/>
  <c r="J75" i="13"/>
  <c r="F76" i="13"/>
  <c r="J76" i="13"/>
  <c r="J77" i="13"/>
  <c r="M77" i="13"/>
  <c r="B88" i="13"/>
  <c r="B91" i="13"/>
  <c r="B80" i="13"/>
  <c r="B92" i="13"/>
  <c r="B89" i="13"/>
  <c r="B86" i="13"/>
  <c r="F6" i="13"/>
  <c r="G6" i="13"/>
  <c r="I6" i="13"/>
  <c r="K6" i="13"/>
  <c r="J6" i="13"/>
  <c r="L6" i="13"/>
  <c r="M6" i="13"/>
  <c r="F7" i="13"/>
  <c r="G7" i="13"/>
  <c r="I7" i="13"/>
  <c r="K7" i="13"/>
  <c r="J7" i="13"/>
  <c r="L7" i="13"/>
  <c r="M7" i="13"/>
  <c r="F8" i="13"/>
  <c r="G8" i="13"/>
  <c r="I8" i="13"/>
  <c r="K8" i="13"/>
  <c r="J8" i="13"/>
  <c r="L8" i="13"/>
  <c r="M8" i="13"/>
  <c r="J9" i="13"/>
  <c r="L9" i="13"/>
  <c r="M9" i="13"/>
  <c r="F10" i="13"/>
  <c r="G10" i="13"/>
  <c r="I10" i="13"/>
  <c r="K10" i="13"/>
  <c r="J10" i="13"/>
  <c r="L10" i="13"/>
  <c r="M10" i="13"/>
  <c r="F11" i="13"/>
  <c r="G11" i="13"/>
  <c r="I11" i="13"/>
  <c r="K11" i="13"/>
  <c r="J11" i="13"/>
  <c r="L11" i="13"/>
  <c r="M11" i="13"/>
  <c r="M12" i="13"/>
  <c r="F19" i="13"/>
  <c r="G19" i="13"/>
  <c r="I19" i="13"/>
  <c r="K19" i="13"/>
  <c r="J19" i="13"/>
  <c r="L19" i="13"/>
  <c r="M19" i="13"/>
  <c r="F20" i="13"/>
  <c r="G20" i="13"/>
  <c r="I20" i="13"/>
  <c r="K20" i="13"/>
  <c r="J20" i="13"/>
  <c r="L20" i="13"/>
  <c r="M20" i="13"/>
  <c r="F21" i="13"/>
  <c r="G21" i="13"/>
  <c r="I21" i="13"/>
  <c r="K21" i="13"/>
  <c r="J21" i="13"/>
  <c r="L21" i="13"/>
  <c r="M21" i="13"/>
  <c r="J22" i="13"/>
  <c r="L22" i="13"/>
  <c r="M22" i="13"/>
  <c r="F23" i="13"/>
  <c r="G23" i="13"/>
  <c r="I23" i="13"/>
  <c r="K23" i="13"/>
  <c r="J23" i="13"/>
  <c r="L23" i="13"/>
  <c r="M23" i="13"/>
  <c r="F24" i="13"/>
  <c r="G24" i="13"/>
  <c r="I24" i="13"/>
  <c r="K24" i="13"/>
  <c r="J24" i="13"/>
  <c r="L24" i="13"/>
  <c r="M24" i="13"/>
  <c r="M25" i="13"/>
  <c r="P25" i="13"/>
  <c r="D82" i="13"/>
  <c r="D80" i="13"/>
  <c r="D83" i="13"/>
  <c r="M73" i="13"/>
  <c r="M44" i="13"/>
  <c r="Q80" i="13"/>
  <c r="M76" i="13"/>
  <c r="H37" i="13"/>
  <c r="H50" i="13"/>
  <c r="H63" i="13"/>
  <c r="H76" i="13"/>
  <c r="G37" i="13"/>
  <c r="G50" i="13"/>
  <c r="G63" i="13"/>
  <c r="G76" i="13"/>
  <c r="M75" i="13"/>
  <c r="H36" i="13"/>
  <c r="H49" i="13"/>
  <c r="H62" i="13"/>
  <c r="H75" i="13"/>
  <c r="G36" i="13"/>
  <c r="G49" i="13"/>
  <c r="G62" i="13"/>
  <c r="G75" i="13"/>
  <c r="M74" i="13"/>
  <c r="G9" i="13"/>
  <c r="G22" i="13"/>
  <c r="H35" i="13"/>
  <c r="H48" i="13"/>
  <c r="H61" i="13"/>
  <c r="H74" i="13"/>
  <c r="F9" i="13"/>
  <c r="F22" i="13"/>
  <c r="G35" i="13"/>
  <c r="G48" i="13"/>
  <c r="G61" i="13"/>
  <c r="G74" i="13"/>
  <c r="H34" i="13"/>
  <c r="H47" i="13"/>
  <c r="H60" i="13"/>
  <c r="H73" i="13"/>
  <c r="G34" i="13"/>
  <c r="G47" i="13"/>
  <c r="G60" i="13"/>
  <c r="G73" i="13"/>
  <c r="M72" i="13"/>
  <c r="H33" i="13"/>
  <c r="H46" i="13"/>
  <c r="H59" i="13"/>
  <c r="H72" i="13"/>
  <c r="G33" i="13"/>
  <c r="G46" i="13"/>
  <c r="G59" i="13"/>
  <c r="G72" i="13"/>
  <c r="M71" i="13"/>
  <c r="H32" i="13"/>
  <c r="H45" i="13"/>
  <c r="H58" i="13"/>
  <c r="H71" i="13"/>
  <c r="G32" i="13"/>
  <c r="G45" i="13"/>
  <c r="G58" i="13"/>
  <c r="G71" i="13"/>
  <c r="Q51" i="13"/>
  <c r="P51" i="13"/>
  <c r="Q50" i="13"/>
  <c r="P50" i="13"/>
  <c r="Q49" i="13"/>
  <c r="P49" i="13"/>
  <c r="Q48" i="13"/>
  <c r="P48" i="13"/>
  <c r="Q47" i="13"/>
  <c r="P47" i="13"/>
  <c r="M47" i="13"/>
  <c r="Q46" i="13"/>
  <c r="P46" i="13"/>
  <c r="M46" i="13"/>
  <c r="Q45" i="13"/>
  <c r="P45" i="13"/>
  <c r="M45" i="13"/>
  <c r="M43" i="13"/>
  <c r="M42" i="13"/>
  <c r="R25" i="13"/>
  <c r="L12" i="13"/>
  <c r="L25" i="13"/>
  <c r="K12" i="13"/>
  <c r="K25" i="13"/>
  <c r="J25" i="13"/>
  <c r="I25" i="13"/>
  <c r="H25" i="13"/>
  <c r="R24" i="13"/>
  <c r="P24" i="13"/>
  <c r="R23" i="13"/>
  <c r="P23" i="13"/>
  <c r="R22" i="13"/>
  <c r="P22" i="13"/>
  <c r="R21" i="13"/>
  <c r="P21" i="13"/>
  <c r="Q21" i="13"/>
  <c r="R20" i="13"/>
  <c r="P20" i="13"/>
  <c r="R19" i="13"/>
  <c r="P19" i="13"/>
  <c r="J12" i="13"/>
  <c r="I12" i="13"/>
  <c r="H12" i="13"/>
  <c r="E10" i="10"/>
  <c r="D10" i="10"/>
  <c r="J51" i="1"/>
  <c r="C2" i="10"/>
  <c r="C3" i="10"/>
  <c r="C4" i="10"/>
  <c r="C5" i="10"/>
  <c r="C6" i="10"/>
  <c r="C7" i="10"/>
  <c r="C8" i="10"/>
  <c r="D2" i="10"/>
  <c r="D3" i="10"/>
  <c r="D4" i="10"/>
  <c r="D5" i="10"/>
  <c r="D6" i="10"/>
  <c r="D7" i="10"/>
  <c r="D8" i="10"/>
  <c r="M48" i="1"/>
  <c r="B85" i="1"/>
  <c r="B86" i="1"/>
  <c r="C10" i="10"/>
  <c r="B9" i="10"/>
  <c r="B2" i="10"/>
  <c r="B3" i="10"/>
  <c r="B4" i="10"/>
  <c r="B5" i="10"/>
  <c r="B6" i="10"/>
  <c r="B7" i="10"/>
  <c r="B8" i="10"/>
  <c r="B88" i="1"/>
  <c r="F76" i="1"/>
  <c r="J76" i="1"/>
  <c r="F75" i="1"/>
  <c r="J75" i="1"/>
  <c r="F74" i="1"/>
  <c r="J74" i="1"/>
  <c r="F73" i="1"/>
  <c r="J73" i="1"/>
  <c r="F72" i="1"/>
  <c r="J72" i="1"/>
  <c r="F71" i="1"/>
  <c r="J71" i="1"/>
  <c r="F63" i="1"/>
  <c r="J63" i="1"/>
  <c r="F62" i="1"/>
  <c r="J62" i="1"/>
  <c r="F61" i="1"/>
  <c r="J61" i="1"/>
  <c r="F60" i="1"/>
  <c r="J60" i="1"/>
  <c r="F59" i="1"/>
  <c r="J59" i="1"/>
  <c r="F58" i="1"/>
  <c r="J58" i="1"/>
  <c r="F50" i="1"/>
  <c r="J50" i="1"/>
  <c r="F49" i="1"/>
  <c r="J49" i="1"/>
  <c r="F48" i="1"/>
  <c r="J48" i="1"/>
  <c r="F47" i="1"/>
  <c r="J47" i="1"/>
  <c r="F46" i="1"/>
  <c r="J46" i="1"/>
  <c r="F45" i="1"/>
  <c r="J45" i="1"/>
  <c r="F37" i="1"/>
  <c r="J37" i="1"/>
  <c r="F36" i="1"/>
  <c r="J36" i="1"/>
  <c r="F35" i="1"/>
  <c r="J35" i="1"/>
  <c r="F34" i="1"/>
  <c r="J34" i="1"/>
  <c r="F33" i="1"/>
  <c r="J33" i="1"/>
  <c r="F32" i="1"/>
  <c r="J32" i="1"/>
  <c r="H12" i="1"/>
  <c r="H25" i="1"/>
  <c r="F6" i="1"/>
  <c r="F19" i="1"/>
  <c r="G6" i="1"/>
  <c r="G19" i="1"/>
  <c r="I19" i="1"/>
  <c r="F7" i="1"/>
  <c r="F20" i="1"/>
  <c r="G7" i="1"/>
  <c r="G20" i="1"/>
  <c r="I20" i="1"/>
  <c r="F8" i="1"/>
  <c r="F21" i="1"/>
  <c r="G8" i="1"/>
  <c r="G21" i="1"/>
  <c r="I21" i="1"/>
  <c r="F10" i="1"/>
  <c r="F23" i="1"/>
  <c r="G10" i="1"/>
  <c r="G23" i="1"/>
  <c r="I23" i="1"/>
  <c r="F11" i="1"/>
  <c r="F24" i="1"/>
  <c r="G11" i="1"/>
  <c r="G24" i="1"/>
  <c r="I24" i="1"/>
  <c r="I25" i="1"/>
  <c r="J19" i="1"/>
  <c r="J20" i="1"/>
  <c r="J21" i="1"/>
  <c r="J22" i="1"/>
  <c r="J23" i="1"/>
  <c r="J24" i="1"/>
  <c r="J25" i="1"/>
  <c r="J6" i="1"/>
  <c r="J7" i="1"/>
  <c r="J8" i="1"/>
  <c r="J9" i="1"/>
  <c r="J10" i="1"/>
  <c r="J11" i="1"/>
  <c r="J12" i="1"/>
  <c r="I6" i="1"/>
  <c r="I7" i="1"/>
  <c r="I8" i="1"/>
  <c r="I10" i="1"/>
  <c r="I11" i="1"/>
  <c r="I12" i="1"/>
  <c r="L6" i="1"/>
  <c r="L7" i="1"/>
  <c r="L8" i="1"/>
  <c r="L9" i="1"/>
  <c r="L10" i="1"/>
  <c r="L11" i="1"/>
  <c r="L12" i="1"/>
  <c r="L19" i="1"/>
  <c r="L20" i="1"/>
  <c r="L21" i="1"/>
  <c r="L22" i="1"/>
  <c r="L23" i="1"/>
  <c r="L24" i="1"/>
  <c r="L25" i="1"/>
  <c r="S25" i="1"/>
  <c r="B80" i="1"/>
  <c r="D80" i="1"/>
  <c r="K6" i="1"/>
  <c r="K7" i="1"/>
  <c r="K8" i="1"/>
  <c r="K10" i="1"/>
  <c r="K11" i="1"/>
  <c r="K12" i="1"/>
  <c r="K19" i="1"/>
  <c r="K20" i="1"/>
  <c r="K21" i="1"/>
  <c r="K23" i="1"/>
  <c r="K24" i="1"/>
  <c r="K25" i="1"/>
  <c r="R25" i="1"/>
  <c r="G32" i="1"/>
  <c r="G45" i="1"/>
  <c r="G58" i="1"/>
  <c r="H32" i="1"/>
  <c r="H45" i="1"/>
  <c r="H58" i="1"/>
  <c r="G33" i="1"/>
  <c r="G46" i="1"/>
  <c r="G59" i="1"/>
  <c r="H33" i="1"/>
  <c r="H46" i="1"/>
  <c r="H59" i="1"/>
  <c r="G34" i="1"/>
  <c r="G47" i="1"/>
  <c r="G60" i="1"/>
  <c r="H34" i="1"/>
  <c r="H47" i="1"/>
  <c r="H60" i="1"/>
  <c r="G36" i="1"/>
  <c r="G49" i="1"/>
  <c r="G62" i="1"/>
  <c r="H36" i="1"/>
  <c r="H49" i="1"/>
  <c r="H62" i="1"/>
  <c r="G37" i="1"/>
  <c r="G50" i="1"/>
  <c r="G63" i="1"/>
  <c r="H37" i="1"/>
  <c r="H50" i="1"/>
  <c r="H63" i="1"/>
  <c r="J64" i="1"/>
  <c r="G71" i="1"/>
  <c r="H71" i="1"/>
  <c r="G72" i="1"/>
  <c r="H72" i="1"/>
  <c r="G73" i="1"/>
  <c r="H73" i="1"/>
  <c r="G75" i="1"/>
  <c r="H75" i="1"/>
  <c r="G76" i="1"/>
  <c r="H76" i="1"/>
  <c r="J77" i="1"/>
  <c r="J38" i="1"/>
  <c r="Q51" i="1"/>
  <c r="P51" i="1"/>
  <c r="Q50" i="1"/>
  <c r="P50" i="1"/>
  <c r="Q49" i="1"/>
  <c r="P49" i="1"/>
  <c r="Q48" i="1"/>
  <c r="P48" i="1"/>
  <c r="Q47" i="1"/>
  <c r="P47" i="1"/>
  <c r="P46" i="1"/>
  <c r="Q46" i="1"/>
  <c r="Q45" i="1"/>
  <c r="P45" i="1"/>
  <c r="M6" i="1"/>
  <c r="M7" i="1"/>
  <c r="M8" i="1"/>
  <c r="M9" i="1"/>
  <c r="M10" i="1"/>
  <c r="M11" i="1"/>
  <c r="M12" i="1"/>
  <c r="M19" i="1"/>
  <c r="M20" i="1"/>
  <c r="M21" i="1"/>
  <c r="M22" i="1"/>
  <c r="M23" i="1"/>
  <c r="M24" i="1"/>
  <c r="M25" i="1"/>
  <c r="T25" i="1"/>
  <c r="T24" i="1"/>
  <c r="S24" i="1"/>
  <c r="R24" i="1"/>
  <c r="T23" i="1"/>
  <c r="S23" i="1"/>
  <c r="R23" i="1"/>
  <c r="T22" i="1"/>
  <c r="S22" i="1"/>
  <c r="T21" i="1"/>
  <c r="S21" i="1"/>
  <c r="R21" i="1"/>
  <c r="T20" i="1"/>
  <c r="S20" i="1"/>
  <c r="R20" i="1"/>
  <c r="T19" i="1"/>
  <c r="S19" i="1"/>
  <c r="R19" i="1"/>
  <c r="M73" i="1"/>
  <c r="M44" i="1"/>
  <c r="M77" i="1"/>
  <c r="Q80" i="1"/>
  <c r="P25" i="1"/>
  <c r="D82" i="1"/>
  <c r="C82" i="1"/>
  <c r="C83" i="1"/>
  <c r="E4" i="10"/>
  <c r="E8" i="10"/>
  <c r="P21" i="1"/>
  <c r="Q21" i="1"/>
  <c r="E7" i="10"/>
  <c r="E6" i="10"/>
  <c r="E5" i="10"/>
  <c r="E3" i="10"/>
  <c r="E2" i="10"/>
  <c r="D31" i="8"/>
  <c r="D31" i="7"/>
  <c r="D83" i="1"/>
  <c r="M71" i="1"/>
  <c r="M47" i="1"/>
  <c r="M46" i="1"/>
  <c r="M45" i="1"/>
  <c r="M43" i="1"/>
  <c r="M42" i="1"/>
  <c r="F6" i="8"/>
  <c r="F19" i="8"/>
  <c r="G6" i="8"/>
  <c r="G19" i="8"/>
  <c r="F7" i="8"/>
  <c r="F20" i="8"/>
  <c r="G7" i="8"/>
  <c r="G20" i="8"/>
  <c r="F8" i="8"/>
  <c r="F21" i="8"/>
  <c r="G8" i="8"/>
  <c r="G21" i="8"/>
  <c r="F10" i="8"/>
  <c r="F23" i="8"/>
  <c r="G10" i="8"/>
  <c r="G23" i="8"/>
  <c r="F11" i="8"/>
  <c r="F24" i="8"/>
  <c r="G11" i="8"/>
  <c r="G24" i="8"/>
  <c r="B29" i="8"/>
  <c r="I6" i="8"/>
  <c r="K6" i="8"/>
  <c r="J6" i="8"/>
  <c r="L6" i="8"/>
  <c r="M6" i="8"/>
  <c r="I7" i="8"/>
  <c r="K7" i="8"/>
  <c r="J7" i="8"/>
  <c r="L7" i="8"/>
  <c r="M7" i="8"/>
  <c r="I8" i="8"/>
  <c r="K8" i="8"/>
  <c r="J8" i="8"/>
  <c r="L8" i="8"/>
  <c r="M8" i="8"/>
  <c r="J9" i="8"/>
  <c r="L9" i="8"/>
  <c r="M9" i="8"/>
  <c r="I10" i="8"/>
  <c r="K10" i="8"/>
  <c r="J10" i="8"/>
  <c r="L10" i="8"/>
  <c r="M10" i="8"/>
  <c r="I11" i="8"/>
  <c r="K11" i="8"/>
  <c r="J11" i="8"/>
  <c r="L11" i="8"/>
  <c r="M11" i="8"/>
  <c r="M12" i="8"/>
  <c r="I19" i="8"/>
  <c r="K19" i="8"/>
  <c r="J19" i="8"/>
  <c r="L19" i="8"/>
  <c r="M19" i="8"/>
  <c r="I20" i="8"/>
  <c r="K20" i="8"/>
  <c r="J20" i="8"/>
  <c r="L20" i="8"/>
  <c r="M20" i="8"/>
  <c r="I21" i="8"/>
  <c r="K21" i="8"/>
  <c r="J21" i="8"/>
  <c r="L21" i="8"/>
  <c r="M21" i="8"/>
  <c r="J22" i="8"/>
  <c r="L22" i="8"/>
  <c r="M22" i="8"/>
  <c r="I23" i="8"/>
  <c r="K23" i="8"/>
  <c r="J23" i="8"/>
  <c r="L23" i="8"/>
  <c r="M23" i="8"/>
  <c r="I24" i="8"/>
  <c r="K24" i="8"/>
  <c r="J24" i="8"/>
  <c r="L24" i="8"/>
  <c r="M24" i="8"/>
  <c r="M25" i="8"/>
  <c r="D29" i="8"/>
  <c r="D32" i="8"/>
  <c r="G9" i="8"/>
  <c r="G22" i="8"/>
  <c r="F9" i="8"/>
  <c r="F22" i="8"/>
  <c r="P25" i="8"/>
  <c r="P24" i="8"/>
  <c r="P23" i="8"/>
  <c r="P22" i="8"/>
  <c r="P21" i="8"/>
  <c r="P20" i="8"/>
  <c r="P19" i="8"/>
  <c r="B29" i="7"/>
  <c r="F6" i="7"/>
  <c r="F19" i="7"/>
  <c r="G6" i="7"/>
  <c r="G19" i="7"/>
  <c r="F7" i="7"/>
  <c r="F20" i="7"/>
  <c r="G7" i="7"/>
  <c r="G20" i="7"/>
  <c r="F8" i="7"/>
  <c r="F21" i="7"/>
  <c r="G8" i="7"/>
  <c r="G21" i="7"/>
  <c r="F10" i="7"/>
  <c r="F23" i="7"/>
  <c r="G10" i="7"/>
  <c r="G23" i="7"/>
  <c r="F11" i="7"/>
  <c r="F24" i="7"/>
  <c r="G11" i="7"/>
  <c r="G24" i="7"/>
  <c r="I6" i="7"/>
  <c r="K6" i="7"/>
  <c r="J6" i="7"/>
  <c r="L6" i="7"/>
  <c r="M6" i="7"/>
  <c r="I7" i="7"/>
  <c r="K7" i="7"/>
  <c r="J7" i="7"/>
  <c r="L7" i="7"/>
  <c r="M7" i="7"/>
  <c r="I8" i="7"/>
  <c r="K8" i="7"/>
  <c r="J8" i="7"/>
  <c r="L8" i="7"/>
  <c r="M8" i="7"/>
  <c r="J9" i="7"/>
  <c r="L9" i="7"/>
  <c r="M9" i="7"/>
  <c r="I10" i="7"/>
  <c r="K10" i="7"/>
  <c r="J10" i="7"/>
  <c r="L10" i="7"/>
  <c r="M10" i="7"/>
  <c r="I11" i="7"/>
  <c r="K11" i="7"/>
  <c r="J11" i="7"/>
  <c r="L11" i="7"/>
  <c r="M11" i="7"/>
  <c r="M12" i="7"/>
  <c r="I19" i="7"/>
  <c r="K19" i="7"/>
  <c r="J19" i="7"/>
  <c r="L19" i="7"/>
  <c r="M19" i="7"/>
  <c r="I20" i="7"/>
  <c r="K20" i="7"/>
  <c r="J20" i="7"/>
  <c r="L20" i="7"/>
  <c r="M20" i="7"/>
  <c r="I21" i="7"/>
  <c r="K21" i="7"/>
  <c r="J21" i="7"/>
  <c r="L21" i="7"/>
  <c r="M21" i="7"/>
  <c r="J22" i="7"/>
  <c r="L22" i="7"/>
  <c r="M22" i="7"/>
  <c r="I23" i="7"/>
  <c r="K23" i="7"/>
  <c r="J23" i="7"/>
  <c r="L23" i="7"/>
  <c r="M23" i="7"/>
  <c r="I24" i="7"/>
  <c r="K24" i="7"/>
  <c r="J24" i="7"/>
  <c r="L24" i="7"/>
  <c r="M24" i="7"/>
  <c r="M25" i="7"/>
  <c r="D29" i="7"/>
  <c r="D32" i="7"/>
  <c r="G9" i="7"/>
  <c r="G22" i="7"/>
  <c r="F9" i="7"/>
  <c r="F22" i="7"/>
  <c r="P25" i="7"/>
  <c r="P24" i="7"/>
  <c r="P23" i="7"/>
  <c r="P22" i="7"/>
  <c r="P21" i="7"/>
  <c r="P20" i="7"/>
  <c r="P19" i="7"/>
  <c r="G9" i="1"/>
  <c r="G22" i="1"/>
  <c r="H35" i="1"/>
  <c r="H48" i="1"/>
  <c r="H61" i="1"/>
  <c r="H74" i="1"/>
  <c r="F9" i="1"/>
  <c r="F22" i="1"/>
  <c r="G35" i="1"/>
  <c r="G48" i="1"/>
  <c r="G61" i="1"/>
  <c r="G74" i="1"/>
  <c r="M74" i="1"/>
  <c r="M75" i="1"/>
  <c r="M76" i="1"/>
  <c r="M72" i="1"/>
  <c r="B89" i="1"/>
  <c r="P22" i="1"/>
  <c r="B91" i="1"/>
  <c r="B92" i="1"/>
  <c r="P19" i="1"/>
  <c r="P23" i="1"/>
  <c r="P20" i="1"/>
  <c r="P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tc={50869F1C-EDD0-4AEE-ADFE-CC1BC42DD575}</author>
    <author>tc={6BD96F50-7767-4D91-A76E-BF77DE5F8DC3}</author>
  </authors>
  <commentList>
    <comment ref="B80" authorId="0" shapeId="0" xr:uid="{50869F1C-EDD0-4AEE-ADFE-CC1BC42DD575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https://data.worldbank.org/indicator/NY.GDP.MKTP.PP.CD?end=2019&amp;locations=SA&amp;start=2011</t>
      </text>
    </comment>
    <comment ref="C80" authorId="1" shapeId="0" xr:uid="{6BD96F50-7767-4D91-A76E-BF77DE5F8DC3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https://apps.who.int/gho/data/node.main.GHEDCHEGDPSHA2011?lang=en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tc={21F25F63-7C9B-4C1A-834D-06A35890B088}</author>
    <author>tc={FCB09917-9FCC-44B4-ABFF-EFDE2DD7093A}</author>
  </authors>
  <commentList>
    <comment ref="B29" authorId="0" shapeId="0" xr:uid="{21F25F63-7C9B-4C1A-834D-06A35890B088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https://data.worldbank.org/indicator/NY.GDP.MKTP.PP.CD?end=2019&amp;locations=SA&amp;start=2011</t>
      </text>
    </comment>
    <comment ref="C29" authorId="1" shapeId="0" xr:uid="{FCB09917-9FCC-44B4-ABFF-EFDE2DD7093A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https://apps.who.int/gho/data/node.main.GHEDCHEGDPSHA2011?lang=en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tc={875FD57C-8CAA-4B84-9154-21E1D87FE978}</author>
    <author>tc={2DA4CD6A-3E72-48DC-B2B5-463DDFEA577F}</author>
  </authors>
  <commentList>
    <comment ref="B29" authorId="0" shapeId="0" xr:uid="{875FD57C-8CAA-4B84-9154-21E1D87FE978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https://data.worldbank.org/indicator/NY.GDP.MKTP.PP.CD?end=2019&amp;locations=SA&amp;start=2011</t>
      </text>
    </comment>
    <comment ref="C29" authorId="1" shapeId="0" xr:uid="{2DA4CD6A-3E72-48DC-B2B5-463DDFEA577F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https://apps.who.int/gho/data/node.main.GHEDCHEGDPSHA2011?lang=en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tc={E7F62DB5-C5C8-4C24-B86A-9D141AF20003}</author>
    <author>tc={0387676E-C8DD-4793-86ED-445C7EDD767B}</author>
  </authors>
  <commentList>
    <comment ref="B80" authorId="0" shapeId="0" xr:uid="{E7F62DB5-C5C8-4C24-B86A-9D141AF20003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https://data.worldbank.org/indicator/NY.GDP.MKTP.PP.CD?end=2019&amp;locations=SA&amp;start=2011</t>
      </text>
    </comment>
    <comment ref="C80" authorId="1" shapeId="0" xr:uid="{0387676E-C8DD-4793-86ED-445C7EDD767B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https://apps.who.int/gho/data/node.main.GHEDCHEGDPSHA2011?lang=en</t>
      </text>
    </comment>
  </commentList>
</comments>
</file>

<file path=xl/sharedStrings.xml><?xml version="1.0" encoding="utf-8"?>
<sst xmlns="http://schemas.openxmlformats.org/spreadsheetml/2006/main" count="609" uniqueCount="83">
  <si>
    <t>Disease</t>
  </si>
  <si>
    <t>Males</t>
  </si>
  <si>
    <t>Females</t>
  </si>
  <si>
    <t>Male</t>
  </si>
  <si>
    <t>Female</t>
  </si>
  <si>
    <t>Coronary heart disease</t>
  </si>
  <si>
    <t>Stroke</t>
  </si>
  <si>
    <t>n.a.</t>
  </si>
  <si>
    <t>Colorectal cancer</t>
  </si>
  <si>
    <t>Asthma</t>
  </si>
  <si>
    <t>Type 2 diabetes</t>
  </si>
  <si>
    <t>Breast cancer</t>
  </si>
  <si>
    <t xml:space="preserve">Direct medical costs attributable to obesity </t>
  </si>
  <si>
    <t>Absenteeism costs attributable to overweight</t>
  </si>
  <si>
    <t xml:space="preserve">Absenteeism costs attributable to obesity </t>
  </si>
  <si>
    <t>Presenteeism costs attributable to overweight</t>
  </si>
  <si>
    <t>Total direct costs</t>
  </si>
  <si>
    <t>Relative Risk</t>
  </si>
  <si>
    <t>million Int $</t>
  </si>
  <si>
    <t>Total absenteeism costs</t>
  </si>
  <si>
    <t>Total presenteeism costs</t>
  </si>
  <si>
    <t>GDP (2019 Int $)</t>
  </si>
  <si>
    <t>Health spending as % of GDP</t>
  </si>
  <si>
    <t>Health spending</t>
  </si>
  <si>
    <t>Saudi Arabia</t>
  </si>
  <si>
    <t>Direct medical costs</t>
  </si>
  <si>
    <t>Absenteeism</t>
  </si>
  <si>
    <t>Presenteeism</t>
  </si>
  <si>
    <t xml:space="preserve">Presenteeism costs attributable to obesity </t>
  </si>
  <si>
    <t>Absenteeism costs of overweight+obesity:</t>
  </si>
  <si>
    <t>Presenteeism costs of overweight+obesity:</t>
  </si>
  <si>
    <t>Absenteeism + Presenteeism</t>
  </si>
  <si>
    <t>measure_id</t>
  </si>
  <si>
    <t>measure_name</t>
  </si>
  <si>
    <t>location_id</t>
  </si>
  <si>
    <t>location_name</t>
  </si>
  <si>
    <t>sex_id</t>
  </si>
  <si>
    <t>sex_name</t>
  </si>
  <si>
    <t>age_id</t>
  </si>
  <si>
    <t>age_name</t>
  </si>
  <si>
    <t>cause_id</t>
  </si>
  <si>
    <t>cause_name</t>
  </si>
  <si>
    <t>metric_id</t>
  </si>
  <si>
    <t>metric_name</t>
  </si>
  <si>
    <t>year</t>
  </si>
  <si>
    <t>val</t>
  </si>
  <si>
    <t>Prevalence</t>
  </si>
  <si>
    <t>All Ages</t>
  </si>
  <si>
    <t>Percent</t>
  </si>
  <si>
    <t>Colon and rectum cancer</t>
  </si>
  <si>
    <t>Ischemic heart disease</t>
  </si>
  <si>
    <t>Diabetes mellitus type 2</t>
  </si>
  <si>
    <t>Sex-Specific prevalence</t>
  </si>
  <si>
    <r>
      <t>Direct medical costs attributable</t>
    </r>
    <r>
      <rPr>
        <b/>
        <sz val="12"/>
        <color theme="1"/>
        <rFont val="Calibri"/>
        <family val="2"/>
        <scheme val="minor"/>
      </rPr>
      <t> </t>
    </r>
    <r>
      <rPr>
        <b/>
        <i/>
        <sz val="12"/>
        <color rgb="FF000000"/>
        <rFont val="Calibri"/>
        <family val="2"/>
        <scheme val="minor"/>
      </rPr>
      <t xml:space="preserve">to overweight </t>
    </r>
  </si>
  <si>
    <t>Population Attributable Fraction</t>
  </si>
  <si>
    <t>Total direct medical costs of overweight + obesity:</t>
  </si>
  <si>
    <t>Absenteeism Cost Attributable to Obesity, both sexes in the aggregate (millions of 2019 Int $)</t>
  </si>
  <si>
    <t>Total Absenteeism Cost of Disease (millions of 2019 Int $)</t>
  </si>
  <si>
    <t>Absenteeism Cost Attributable to Overweight, both sexes in the aggregate (millions of 2019 Int $)</t>
  </si>
  <si>
    <t>Total Direct Medical Cost of Disease (millions of 2019 Int $)</t>
  </si>
  <si>
    <t>Sex-Specific Direct Medical  Cost of Disease (millions of 2019 Int $)</t>
  </si>
  <si>
    <t>Sex-Specific Direct Medical Cost Attributable to Obesity (millions of 2019 Int $)</t>
  </si>
  <si>
    <t>Direct Medical Cost Attributable to Obesity, both sexes in the aggregate (millions of 2019 Int $)</t>
  </si>
  <si>
    <t>Direct Medical Cost Attributable to Overweight, both sexes in the aggregate (millions of 2019 Int $)</t>
  </si>
  <si>
    <t>Sex-Specific Direct Medical Cost Attributable to Overweight (millions of 2019 Int $)</t>
  </si>
  <si>
    <t>Sex-Specific Direct Medical Cost of Disease (millions of 2019 Int $)</t>
  </si>
  <si>
    <t>Total Presenteeism Cost of Disease (millions of 2019 Int $)</t>
  </si>
  <si>
    <t>Presenteeism Cost Attributable to Overweight, both sexes in the aggregate (millions of 2019 Int $)</t>
  </si>
  <si>
    <t>Presenteeism Cost Attributable to Obesity, both sexes in the aggregate (millions of 2019 Int $)</t>
  </si>
  <si>
    <t>Direct medical costs as a percentage of GDP:</t>
  </si>
  <si>
    <t>Presenteeism costs as a percentage of GDP:</t>
  </si>
  <si>
    <t>Absenteeism costs as a percentage of GDP:</t>
  </si>
  <si>
    <t>Absenteeism costs</t>
  </si>
  <si>
    <t>Presenteeism costs</t>
  </si>
  <si>
    <t>Absenteeism + presenteeism costs</t>
  </si>
  <si>
    <t>Absenteeism + Presenteeism costs as a percentage of GDP:</t>
  </si>
  <si>
    <t>Source: IHME GBD database, September 2, 2021</t>
  </si>
  <si>
    <t xml:space="preserve">Direct medical </t>
  </si>
  <si>
    <t>All</t>
  </si>
  <si>
    <t>% health spending</t>
  </si>
  <si>
    <t>$ GDP</t>
  </si>
  <si>
    <t>Weighted PAF</t>
  </si>
  <si>
    <t>Absenteeism+Presenteeism costs of overweight+obesity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</si>
</sst>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5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3" xfId="0" applyBorder="1"/>
    <xf numFmtId="164" fontId="0" fillId="0" borderId="0" xfId="1" applyNumberFormat="1" applyFont="1" applyBorder="1"/>
    <xf numFmtId="166" fontId="0" fillId="0" borderId="0" xfId="2" applyNumberFormat="1" applyFont="1" applyBorder="1"/>
    <xf numFmtId="0" fontId="0" fillId="0" borderId="0" xfId="0" applyBorder="1"/>
    <xf numFmtId="165" fontId="0" fillId="0" borderId="0" xfId="0" applyNumberFormat="1" applyBorder="1"/>
    <xf numFmtId="3" fontId="0" fillId="0" borderId="0" xfId="0" applyNumberFormat="1" applyBorder="1"/>
    <xf numFmtId="3" fontId="0" fillId="0" borderId="6" xfId="0" applyNumberFormat="1" applyBorder="1"/>
    <xf numFmtId="165" fontId="0" fillId="0" borderId="0" xfId="3" applyNumberFormat="1" applyFont="1" applyBorder="1"/>
    <xf numFmtId="0" fontId="0" fillId="0" borderId="6" xfId="0" applyBorder="1"/>
    <xf numFmtId="44" fontId="0" fillId="0" borderId="0" xfId="0" applyNumberFormat="1" applyBorder="1"/>
    <xf numFmtId="0" fontId="0" fillId="0" borderId="8" xfId="0" applyBorder="1"/>
    <xf numFmtId="165" fontId="0" fillId="0" borderId="1" xfId="3" applyNumberFormat="1" applyFont="1" applyBorder="1"/>
    <xf numFmtId="0" fontId="0" fillId="0" borderId="1" xfId="0" applyBorder="1"/>
    <xf numFmtId="0" fontId="0" fillId="0" borderId="7" xfId="0" applyBorder="1"/>
    <xf numFmtId="3" fontId="0" fillId="0" borderId="0" xfId="0" applyNumberFormat="1" applyFont="1" applyBorder="1"/>
    <xf numFmtId="0" fontId="7" fillId="0" borderId="15" xfId="0" applyFont="1" applyBorder="1" applyAlignment="1">
      <alignment vertical="center"/>
    </xf>
    <xf numFmtId="0" fontId="0" fillId="0" borderId="2" xfId="0" applyFont="1" applyBorder="1"/>
    <xf numFmtId="0" fontId="0" fillId="0" borderId="4" xfId="0" applyFont="1" applyBorder="1"/>
    <xf numFmtId="0" fontId="7" fillId="0" borderId="3" xfId="0" applyFont="1" applyBorder="1" applyAlignment="1">
      <alignment vertical="center"/>
    </xf>
    <xf numFmtId="0" fontId="0" fillId="0" borderId="6" xfId="0" applyFont="1" applyBorder="1"/>
    <xf numFmtId="0" fontId="0" fillId="0" borderId="8" xfId="0" applyFont="1" applyBorder="1"/>
    <xf numFmtId="3" fontId="0" fillId="0" borderId="1" xfId="0" applyNumberFormat="1" applyFont="1" applyBorder="1"/>
    <xf numFmtId="0" fontId="0" fillId="0" borderId="7" xfId="0" applyFont="1" applyBorder="1"/>
    <xf numFmtId="166" fontId="0" fillId="0" borderId="6" xfId="2" applyNumberFormat="1" applyFont="1" applyBorder="1"/>
    <xf numFmtId="165" fontId="0" fillId="0" borderId="6" xfId="3" applyNumberFormat="1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0" fontId="0" fillId="0" borderId="0" xfId="3" applyNumberFormat="1" applyFont="1"/>
    <xf numFmtId="3" fontId="1" fillId="0" borderId="0" xfId="0" applyNumberFormat="1" applyFont="1" applyBorder="1"/>
    <xf numFmtId="0" fontId="2" fillId="0" borderId="5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3" fontId="1" fillId="0" borderId="23" xfId="0" applyNumberFormat="1" applyFont="1" applyFill="1" applyBorder="1"/>
    <xf numFmtId="0" fontId="1" fillId="0" borderId="24" xfId="0" applyFont="1" applyBorder="1"/>
    <xf numFmtId="0" fontId="1" fillId="0" borderId="25" xfId="0" applyFont="1" applyBorder="1"/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/>
    <xf numFmtId="0" fontId="8" fillId="0" borderId="2" xfId="0" applyFont="1" applyBorder="1"/>
    <xf numFmtId="0" fontId="8" fillId="0" borderId="5" xfId="0" applyFont="1" applyBorder="1"/>
    <xf numFmtId="0" fontId="8" fillId="0" borderId="4" xfId="0" applyFont="1" applyBorder="1"/>
    <xf numFmtId="0" fontId="1" fillId="0" borderId="28" xfId="0" applyFont="1" applyBorder="1"/>
    <xf numFmtId="0" fontId="1" fillId="0" borderId="28" xfId="0" applyFont="1" applyBorder="1" applyAlignment="1">
      <alignment vertical="center" wrapText="1"/>
    </xf>
    <xf numFmtId="0" fontId="1" fillId="0" borderId="29" xfId="0" applyFont="1" applyBorder="1"/>
    <xf numFmtId="0" fontId="4" fillId="0" borderId="19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 wrapText="1"/>
    </xf>
    <xf numFmtId="3" fontId="1" fillId="0" borderId="23" xfId="0" applyNumberFormat="1" applyFont="1" applyBorder="1"/>
    <xf numFmtId="2" fontId="4" fillId="0" borderId="9" xfId="0" applyNumberFormat="1" applyFont="1" applyBorder="1" applyAlignment="1">
      <alignment horizontal="center" vertical="center"/>
    </xf>
    <xf numFmtId="165" fontId="0" fillId="0" borderId="7" xfId="3" applyNumberFormat="1" applyFont="1" applyBorder="1"/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0" fillId="0" borderId="0" xfId="0" applyFont="1" applyBorder="1"/>
    <xf numFmtId="0" fontId="7" fillId="0" borderId="0" xfId="0" applyFont="1" applyBorder="1" applyAlignment="1">
      <alignment vertical="center"/>
    </xf>
    <xf numFmtId="9" fontId="0" fillId="0" borderId="6" xfId="3" applyFont="1" applyBorder="1"/>
    <xf numFmtId="0" fontId="11" fillId="0" borderId="0" xfId="0" applyFont="1" applyBorder="1"/>
    <xf numFmtId="0" fontId="11" fillId="0" borderId="0" xfId="0" applyFont="1"/>
    <xf numFmtId="0" fontId="14" fillId="0" borderId="9" xfId="0" applyFont="1" applyBorder="1" applyAlignment="1">
      <alignment horizontal="justify" vertical="center" wrapText="1"/>
    </xf>
    <xf numFmtId="3" fontId="14" fillId="0" borderId="9" xfId="0" applyNumberFormat="1" applyFont="1" applyBorder="1" applyAlignment="1">
      <alignment horizontal="justify" vertical="center" wrapText="1"/>
    </xf>
    <xf numFmtId="0" fontId="11" fillId="0" borderId="27" xfId="0" applyFont="1" applyBorder="1"/>
    <xf numFmtId="0" fontId="12" fillId="4" borderId="28" xfId="0" applyFont="1" applyFill="1" applyBorder="1" applyAlignment="1">
      <alignment vertical="center" wrapText="1"/>
    </xf>
    <xf numFmtId="0" fontId="13" fillId="4" borderId="28" xfId="0" applyFont="1" applyFill="1" applyBorder="1" applyAlignment="1">
      <alignment vertical="center" wrapText="1"/>
    </xf>
    <xf numFmtId="0" fontId="13" fillId="4" borderId="29" xfId="0" applyFont="1" applyFill="1" applyBorder="1" applyAlignment="1">
      <alignment vertical="center" wrapText="1"/>
    </xf>
    <xf numFmtId="0" fontId="14" fillId="0" borderId="19" xfId="0" applyFont="1" applyBorder="1" applyAlignment="1">
      <alignment vertical="center"/>
    </xf>
    <xf numFmtId="3" fontId="14" fillId="0" borderId="23" xfId="0" applyNumberFormat="1" applyFont="1" applyBorder="1" applyAlignment="1">
      <alignment horizontal="justify" vertical="center" wrapText="1"/>
    </xf>
    <xf numFmtId="0" fontId="14" fillId="0" borderId="19" xfId="0" applyFont="1" applyFill="1" applyBorder="1" applyAlignment="1">
      <alignment vertical="center"/>
    </xf>
    <xf numFmtId="0" fontId="14" fillId="0" borderId="23" xfId="0" applyFont="1" applyBorder="1" applyAlignment="1">
      <alignment horizontal="justify" vertical="center" wrapText="1"/>
    </xf>
    <xf numFmtId="0" fontId="14" fillId="0" borderId="24" xfId="0" applyFont="1" applyFill="1" applyBorder="1" applyAlignment="1">
      <alignment vertical="center"/>
    </xf>
    <xf numFmtId="0" fontId="14" fillId="0" borderId="25" xfId="0" applyFont="1" applyBorder="1" applyAlignment="1">
      <alignment horizontal="justify" vertical="center" wrapText="1"/>
    </xf>
    <xf numFmtId="9" fontId="11" fillId="0" borderId="0" xfId="3" applyFont="1" applyBorder="1"/>
    <xf numFmtId="165" fontId="0" fillId="0" borderId="0" xfId="3" applyNumberFormat="1" applyFont="1"/>
    <xf numFmtId="0" fontId="9" fillId="0" borderId="5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3" fontId="0" fillId="0" borderId="1" xfId="0" applyNumberFormat="1" applyBorder="1"/>
    <xf numFmtId="3" fontId="0" fillId="0" borderId="7" xfId="0" applyNumberForma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3" fontId="1" fillId="0" borderId="26" xfId="0" applyNumberFormat="1" applyFont="1" applyFill="1" applyBorder="1"/>
    <xf numFmtId="0" fontId="1" fillId="3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165" fontId="14" fillId="0" borderId="9" xfId="3" applyNumberFormat="1" applyFont="1" applyBorder="1" applyAlignment="1">
      <alignment horizontal="justify" vertical="center" wrapText="1"/>
    </xf>
    <xf numFmtId="165" fontId="14" fillId="0" borderId="25" xfId="3" applyNumberFormat="1" applyFont="1" applyBorder="1" applyAlignment="1">
      <alignment horizontal="justify" vertical="center" wrapText="1"/>
    </xf>
    <xf numFmtId="165" fontId="14" fillId="0" borderId="26" xfId="3" applyNumberFormat="1" applyFont="1" applyBorder="1" applyAlignment="1">
      <alignment horizontal="justify" vertical="center" wrapText="1"/>
    </xf>
    <xf numFmtId="9" fontId="0" fillId="0" borderId="0" xfId="3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sse Malkin" id="{E3C96E73-39D2-4DA6-A019-7B78451821A4}" userId="ce9b0ab2957061ec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0" dT="2020-11-12T11:39:14.84" personId="{E3C96E73-39D2-4DA6-A019-7B78451821A4}" id="{50869F1C-EDD0-4AEE-ADFE-CC1BC42DD575}">
    <text>https://data.worldbank.org/indicator/NY.GDP.MKTP.PP.CD?end=2019&amp;locations=SA&amp;start=2011</text>
  </threadedComment>
  <threadedComment ref="C80" dT="2020-11-12T13:10:27.82" personId="{E3C96E73-39D2-4DA6-A019-7B78451821A4}" id="{6BD96F50-7767-4D91-A76E-BF77DE5F8DC3}">
    <text>https://apps.who.int/gho/data/node.main.GHEDCHEGDPSHA2011?lang=en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9" dT="2020-11-12T11:39:14.84" personId="{E3C96E73-39D2-4DA6-A019-7B78451821A4}" id="{21F25F63-7C9B-4C1A-834D-06A35890B088}">
    <text>https://data.worldbank.org/indicator/NY.GDP.MKTP.PP.CD?end=2019&amp;locations=SA&amp;start=2011</text>
  </threadedComment>
  <threadedComment ref="C29" dT="2020-11-12T13:10:27.82" personId="{E3C96E73-39D2-4DA6-A019-7B78451821A4}" id="{FCB09917-9FCC-44B4-ABFF-EFDE2DD7093A}">
    <text>https://apps.who.int/gho/data/node.main.GHEDCHEGDPSHA2011?lang=en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29" dT="2020-11-12T11:39:14.84" personId="{E3C96E73-39D2-4DA6-A019-7B78451821A4}" id="{875FD57C-8CAA-4B84-9154-21E1D87FE978}">
    <text>https://data.worldbank.org/indicator/NY.GDP.MKTP.PP.CD?end=2019&amp;locations=SA&amp;start=2011</text>
  </threadedComment>
  <threadedComment ref="C29" dT="2020-11-12T13:10:27.82" personId="{E3C96E73-39D2-4DA6-A019-7B78451821A4}" id="{2DA4CD6A-3E72-48DC-B2B5-463DDFEA577F}">
    <text>https://apps.who.int/gho/data/node.main.GHEDCHEGDPSHA2011?lang=en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80" dT="2020-11-12T11:39:14.84" personId="{E3C96E73-39D2-4DA6-A019-7B78451821A4}" id="{E7F62DB5-C5C8-4C24-B86A-9D141AF20003}">
    <text>https://data.worldbank.org/indicator/NY.GDP.MKTP.PP.CD?end=2019&amp;locations=SA&amp;start=2011</text>
  </threadedComment>
  <threadedComment ref="C80" dT="2020-11-12T13:10:27.82" personId="{E3C96E73-39D2-4DA6-A019-7B78451821A4}" id="{0387676E-C8DD-4793-86ED-445C7EDD767B}">
    <text>https://apps.who.int/gho/data/node.main.GHEDCHEGDPSHA2011?lang=en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A3E0-23A3-440A-9103-8451C0BC1F0E}">
  <dimension ref="A1:U92"/>
  <sheetViews>
    <sheetView tabSelected="1" topLeftCell="A61" workbookViewId="0">
      <selection activeCell="I96" sqref="I96"/>
    </sheetView>
  </sheetViews>
  <sheetFormatPr defaultRowHeight="15" x14ac:dyDescent="0.25"/>
  <cols>
    <col min="1" max="1" width="57.140625" customWidth="1"/>
    <col min="2" max="2" width="21.5703125" customWidth="1"/>
    <col min="3" max="3" width="25.42578125" customWidth="1"/>
    <col min="4" max="4" width="18.140625" customWidth="1"/>
    <col min="5" max="5" width="17.28515625" customWidth="1"/>
    <col min="6" max="6" width="14.85546875" customWidth="1"/>
    <col min="7" max="8" width="17.28515625" customWidth="1"/>
    <col min="9" max="9" width="17.140625" customWidth="1"/>
    <col min="10" max="10" width="16.7109375" customWidth="1"/>
    <col min="11" max="11" width="13.140625" customWidth="1"/>
    <col min="12" max="12" width="23" customWidth="1"/>
    <col min="13" max="13" width="17.85546875" customWidth="1"/>
    <col min="14" max="14" width="22.85546875" customWidth="1"/>
    <col min="15" max="15" width="21.7109375" customWidth="1"/>
    <col min="16" max="16" width="22" hidden="1" customWidth="1"/>
    <col min="17" max="17" width="13.5703125" hidden="1" customWidth="1"/>
    <col min="18" max="18" width="8.140625" customWidth="1"/>
  </cols>
  <sheetData>
    <row r="1" spans="1:15" ht="15.75" x14ac:dyDescent="0.25">
      <c r="A1" s="99" t="s">
        <v>53</v>
      </c>
      <c r="B1" s="100"/>
      <c r="C1" s="100"/>
      <c r="D1" s="100"/>
      <c r="E1" s="100"/>
      <c r="F1" s="93"/>
      <c r="G1" s="40"/>
      <c r="H1" s="40"/>
      <c r="I1" s="36"/>
      <c r="J1" s="32"/>
      <c r="K1" s="32"/>
      <c r="L1" s="32"/>
      <c r="M1" s="32"/>
      <c r="N1" s="33"/>
      <c r="O1" s="10"/>
    </row>
    <row r="2" spans="1:15" ht="20.45" customHeight="1" x14ac:dyDescent="0.25">
      <c r="A2" s="101"/>
      <c r="B2" s="97" t="s">
        <v>17</v>
      </c>
      <c r="C2" s="97"/>
      <c r="D2" s="105" t="s">
        <v>54</v>
      </c>
      <c r="E2" s="106"/>
      <c r="F2" s="97" t="s">
        <v>52</v>
      </c>
      <c r="G2" s="97"/>
      <c r="H2" s="111" t="s">
        <v>59</v>
      </c>
      <c r="I2" s="105" t="s">
        <v>65</v>
      </c>
      <c r="J2" s="106"/>
      <c r="K2" s="114" t="s">
        <v>64</v>
      </c>
      <c r="L2" s="115"/>
      <c r="M2" s="102" t="s">
        <v>63</v>
      </c>
    </row>
    <row r="3" spans="1:15" ht="15.6" customHeight="1" x14ac:dyDescent="0.25">
      <c r="A3" s="101"/>
      <c r="B3" s="97"/>
      <c r="C3" s="97"/>
      <c r="D3" s="107"/>
      <c r="E3" s="108"/>
      <c r="F3" s="97"/>
      <c r="G3" s="97"/>
      <c r="H3" s="112"/>
      <c r="I3" s="107"/>
      <c r="J3" s="108"/>
      <c r="K3" s="116"/>
      <c r="L3" s="117"/>
      <c r="M3" s="103"/>
    </row>
    <row r="4" spans="1:15" ht="51.75" customHeight="1" x14ac:dyDescent="0.25">
      <c r="A4" s="101"/>
      <c r="B4" s="97"/>
      <c r="C4" s="97"/>
      <c r="D4" s="109"/>
      <c r="E4" s="110"/>
      <c r="F4" s="97"/>
      <c r="G4" s="97"/>
      <c r="H4" s="113"/>
      <c r="I4" s="109"/>
      <c r="J4" s="110"/>
      <c r="K4" s="118"/>
      <c r="L4" s="119"/>
      <c r="M4" s="104"/>
    </row>
    <row r="5" spans="1:15" x14ac:dyDescent="0.25">
      <c r="A5" s="51" t="s">
        <v>0</v>
      </c>
      <c r="B5" s="43" t="s">
        <v>1</v>
      </c>
      <c r="C5" s="43" t="s">
        <v>2</v>
      </c>
      <c r="D5" s="43" t="s">
        <v>1</v>
      </c>
      <c r="E5" s="43" t="s">
        <v>2</v>
      </c>
      <c r="F5" s="43" t="s">
        <v>1</v>
      </c>
      <c r="G5" s="43" t="s">
        <v>2</v>
      </c>
      <c r="H5" s="42"/>
      <c r="I5" s="41" t="s">
        <v>3</v>
      </c>
      <c r="J5" s="41" t="s">
        <v>4</v>
      </c>
      <c r="K5" s="50" t="s">
        <v>3</v>
      </c>
      <c r="L5" s="50" t="s">
        <v>4</v>
      </c>
      <c r="M5" s="52"/>
    </row>
    <row r="6" spans="1:15" x14ac:dyDescent="0.25">
      <c r="A6" s="53" t="s">
        <v>5</v>
      </c>
      <c r="B6" s="44">
        <v>1.29</v>
      </c>
      <c r="C6" s="44">
        <v>1.8</v>
      </c>
      <c r="D6" s="44">
        <v>0.1</v>
      </c>
      <c r="E6" s="44">
        <v>0.16</v>
      </c>
      <c r="F6" s="45">
        <f>'GBD prevalence'!N8</f>
        <v>2.9763653716087E-2</v>
      </c>
      <c r="G6" s="45">
        <f>'GBD prevalence'!N9</f>
        <v>1.6759607424553499E-2</v>
      </c>
      <c r="H6" s="46">
        <v>798</v>
      </c>
      <c r="I6" s="47">
        <f>((F6/(F6+G6))*H6)</f>
        <v>510.5273165102638</v>
      </c>
      <c r="J6" s="47">
        <f>((G6/(F6+G6))*H6)</f>
        <v>287.47268348973626</v>
      </c>
      <c r="K6" s="48">
        <f>D6*I6</f>
        <v>51.052731651026384</v>
      </c>
      <c r="L6" s="48">
        <f>E6*J6</f>
        <v>45.995629358357803</v>
      </c>
      <c r="M6" s="54">
        <f>K6+L6</f>
        <v>97.048361009384195</v>
      </c>
      <c r="O6" s="1"/>
    </row>
    <row r="7" spans="1:15" x14ac:dyDescent="0.25">
      <c r="A7" s="53" t="s">
        <v>6</v>
      </c>
      <c r="B7" s="44">
        <v>1.23</v>
      </c>
      <c r="C7" s="44">
        <v>1.1499999999999999</v>
      </c>
      <c r="D7" s="44">
        <v>0.08</v>
      </c>
      <c r="E7" s="44">
        <v>0.04</v>
      </c>
      <c r="F7" s="45">
        <f>'GBD prevalence'!N10</f>
        <v>1.2787662816608999E-2</v>
      </c>
      <c r="G7" s="45">
        <f>'GBD prevalence'!N11</f>
        <v>1.55784847726608E-2</v>
      </c>
      <c r="H7" s="46">
        <v>1118</v>
      </c>
      <c r="I7" s="47">
        <f>((F7/(F7+G7))*H7)</f>
        <v>504.00241992595807</v>
      </c>
      <c r="J7" s="47">
        <f>((G7/(F7+G7))*H7)</f>
        <v>613.99758007404182</v>
      </c>
      <c r="K7" s="48">
        <f>D7*I7</f>
        <v>40.320193594076649</v>
      </c>
      <c r="L7" s="48">
        <f>E7*J7</f>
        <v>24.559903202961674</v>
      </c>
      <c r="M7" s="54">
        <f>K7+L7</f>
        <v>64.88009679703832</v>
      </c>
    </row>
    <row r="8" spans="1:15" x14ac:dyDescent="0.25">
      <c r="A8" s="53" t="s">
        <v>10</v>
      </c>
      <c r="B8" s="44">
        <v>2.4</v>
      </c>
      <c r="C8" s="44">
        <v>3.92</v>
      </c>
      <c r="D8" s="44">
        <v>0.22</v>
      </c>
      <c r="E8" s="44">
        <v>0.23</v>
      </c>
      <c r="F8" s="45">
        <f>'GBD prevalence'!N12</f>
        <v>7.7837319776146802E-2</v>
      </c>
      <c r="G8" s="45">
        <f>'GBD prevalence'!N13</f>
        <v>6.4630730381549498E-2</v>
      </c>
      <c r="H8" s="46">
        <v>4796</v>
      </c>
      <c r="I8" s="47">
        <f>((F8/(F8+G8))*H8)</f>
        <v>2620.2912529032988</v>
      </c>
      <c r="J8" s="47">
        <f>((G8/(F8+G8))*H8)</f>
        <v>2175.7087470967008</v>
      </c>
      <c r="K8" s="48">
        <f>D8*I8</f>
        <v>576.46407563872572</v>
      </c>
      <c r="L8" s="48">
        <f>E8*J8</f>
        <v>500.41301183224118</v>
      </c>
      <c r="M8" s="54">
        <f>K8+L8</f>
        <v>1076.8770874709669</v>
      </c>
    </row>
    <row r="9" spans="1:15" x14ac:dyDescent="0.25">
      <c r="A9" s="53" t="s">
        <v>11</v>
      </c>
      <c r="B9" s="44" t="s">
        <v>7</v>
      </c>
      <c r="C9" s="44">
        <v>1.08</v>
      </c>
      <c r="D9" s="44" t="s">
        <v>7</v>
      </c>
      <c r="E9" s="44">
        <v>0.03</v>
      </c>
      <c r="F9" s="45">
        <f>'GBD prevalence'!N2</f>
        <v>1.83044303171544E-5</v>
      </c>
      <c r="G9" s="45">
        <f>'GBD prevalence'!N3</f>
        <v>3.2451662713967599E-3</v>
      </c>
      <c r="H9" s="46">
        <v>43</v>
      </c>
      <c r="I9" s="47">
        <v>0</v>
      </c>
      <c r="J9" s="47">
        <f>H9</f>
        <v>43</v>
      </c>
      <c r="K9" s="49">
        <v>0</v>
      </c>
      <c r="L9" s="48">
        <f>E9*J9</f>
        <v>1.29</v>
      </c>
      <c r="M9" s="54">
        <f>L9</f>
        <v>1.29</v>
      </c>
    </row>
    <row r="10" spans="1:15" x14ac:dyDescent="0.25">
      <c r="A10" s="53" t="s">
        <v>8</v>
      </c>
      <c r="B10" s="44">
        <v>1.51</v>
      </c>
      <c r="C10" s="44">
        <v>1.45</v>
      </c>
      <c r="D10" s="44">
        <v>0.16</v>
      </c>
      <c r="E10" s="44">
        <v>0.12</v>
      </c>
      <c r="F10" s="45">
        <f>'GBD prevalence'!N4</f>
        <v>6.0869445111917501E-4</v>
      </c>
      <c r="G10" s="45">
        <f>'GBD prevalence'!N5</f>
        <v>3.3655986084177601E-4</v>
      </c>
      <c r="H10" s="46">
        <v>45</v>
      </c>
      <c r="I10" s="47">
        <f>((F10/(F10+G10))*H10)</f>
        <v>28.977651785093812</v>
      </c>
      <c r="J10" s="47">
        <f>((G10/(F10+G10))*H10)</f>
        <v>16.022348214906188</v>
      </c>
      <c r="K10" s="48">
        <f>D10*I10</f>
        <v>4.6364242856150097</v>
      </c>
      <c r="L10" s="48">
        <f>E10*J10</f>
        <v>1.9226817857887424</v>
      </c>
      <c r="M10" s="54">
        <f>K10+L10</f>
        <v>6.5591060714037521</v>
      </c>
    </row>
    <row r="11" spans="1:15" x14ac:dyDescent="0.25">
      <c r="A11" s="53" t="s">
        <v>9</v>
      </c>
      <c r="B11" s="44">
        <v>1.2</v>
      </c>
      <c r="C11" s="44">
        <v>1.25</v>
      </c>
      <c r="D11" s="44">
        <v>7.0000000000000007E-2</v>
      </c>
      <c r="E11" s="44">
        <v>7.0000000000000007E-2</v>
      </c>
      <c r="F11" s="45">
        <f>'GBD prevalence'!N6</f>
        <v>2.5414263168568801E-2</v>
      </c>
      <c r="G11" s="45">
        <f>'GBD prevalence'!N13</f>
        <v>6.4630730381549498E-2</v>
      </c>
      <c r="H11" s="46">
        <v>352</v>
      </c>
      <c r="I11" s="47">
        <f>((F11/(F11+G11))*H11)</f>
        <v>99.348340009120534</v>
      </c>
      <c r="J11" s="47">
        <f>((G11/(F11+G11))*H11)</f>
        <v>252.65165999087947</v>
      </c>
      <c r="K11" s="48">
        <f>D11*I11</f>
        <v>6.9543838006384382</v>
      </c>
      <c r="L11" s="48">
        <f>E11*J11</f>
        <v>17.685616199361565</v>
      </c>
      <c r="M11" s="54">
        <f>K11+L11</f>
        <v>24.640000000000004</v>
      </c>
    </row>
    <row r="12" spans="1:15" ht="23.1" customHeight="1" thickBot="1" x14ac:dyDescent="0.3">
      <c r="A12" s="55"/>
      <c r="B12" s="56"/>
      <c r="C12" s="56"/>
      <c r="D12" s="56"/>
      <c r="E12" s="56"/>
      <c r="F12" s="56"/>
      <c r="G12" s="56"/>
      <c r="H12" s="58">
        <f t="shared" ref="H12:M12" si="0">SUM(H6:H11)</f>
        <v>7152</v>
      </c>
      <c r="I12" s="58">
        <f t="shared" si="0"/>
        <v>3763.1469811337347</v>
      </c>
      <c r="J12" s="58">
        <f t="shared" si="0"/>
        <v>3388.8530188662648</v>
      </c>
      <c r="K12" s="58">
        <f t="shared" si="0"/>
        <v>679.4278089700822</v>
      </c>
      <c r="L12" s="58">
        <f t="shared" si="0"/>
        <v>591.866842378711</v>
      </c>
      <c r="M12" s="58">
        <f t="shared" si="0"/>
        <v>1271.2946513487932</v>
      </c>
    </row>
    <row r="13" spans="1:15" ht="15.75" thickBot="1" x14ac:dyDescent="0.3">
      <c r="A13" s="2"/>
      <c r="B13" s="2"/>
      <c r="C13" s="2"/>
      <c r="D13" s="2"/>
      <c r="E13" s="2"/>
      <c r="F13" s="35"/>
      <c r="G13" s="35"/>
      <c r="H13" s="3"/>
      <c r="I13" s="2"/>
      <c r="J13" s="2"/>
      <c r="K13" s="2"/>
      <c r="L13" s="2"/>
      <c r="M13" s="2"/>
    </row>
    <row r="14" spans="1:15" ht="15.75" x14ac:dyDescent="0.25">
      <c r="A14" s="120" t="s">
        <v>12</v>
      </c>
      <c r="B14" s="121"/>
      <c r="C14" s="121"/>
      <c r="D14" s="121"/>
      <c r="E14" s="62"/>
      <c r="F14" s="62"/>
      <c r="G14" s="62"/>
      <c r="H14" s="63"/>
      <c r="I14" s="62"/>
      <c r="J14" s="62"/>
      <c r="K14" s="62"/>
      <c r="L14" s="62"/>
      <c r="M14" s="64"/>
    </row>
    <row r="15" spans="1:15" ht="20.45" customHeight="1" x14ac:dyDescent="0.25">
      <c r="A15" s="101"/>
      <c r="B15" s="97" t="s">
        <v>17</v>
      </c>
      <c r="C15" s="97"/>
      <c r="D15" s="97" t="s">
        <v>54</v>
      </c>
      <c r="E15" s="97"/>
      <c r="F15" s="97" t="s">
        <v>52</v>
      </c>
      <c r="G15" s="97"/>
      <c r="H15" s="97" t="s">
        <v>59</v>
      </c>
      <c r="I15" s="97" t="s">
        <v>60</v>
      </c>
      <c r="J15" s="97"/>
      <c r="K15" s="98" t="s">
        <v>61</v>
      </c>
      <c r="L15" s="98"/>
      <c r="M15" s="96" t="s">
        <v>62</v>
      </c>
    </row>
    <row r="16" spans="1:15" ht="60" customHeight="1" x14ac:dyDescent="0.25">
      <c r="A16" s="101"/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8"/>
      <c r="M16" s="96"/>
    </row>
    <row r="17" spans="1:20" ht="2.4500000000000002" customHeight="1" thickBot="1" x14ac:dyDescent="0.3">
      <c r="A17" s="101"/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98"/>
      <c r="M17" s="96"/>
    </row>
    <row r="18" spans="1:20" x14ac:dyDescent="0.25">
      <c r="A18" s="51" t="s">
        <v>0</v>
      </c>
      <c r="B18" s="43" t="s">
        <v>1</v>
      </c>
      <c r="C18" s="43" t="s">
        <v>2</v>
      </c>
      <c r="D18" s="43" t="s">
        <v>1</v>
      </c>
      <c r="E18" s="43" t="s">
        <v>2</v>
      </c>
      <c r="F18" s="43" t="s">
        <v>1</v>
      </c>
      <c r="G18" s="43" t="s">
        <v>2</v>
      </c>
      <c r="H18" s="42"/>
      <c r="I18" s="41" t="s">
        <v>3</v>
      </c>
      <c r="J18" s="41" t="s">
        <v>4</v>
      </c>
      <c r="K18" s="50" t="s">
        <v>3</v>
      </c>
      <c r="L18" s="50" t="s">
        <v>4</v>
      </c>
      <c r="M18" s="52"/>
      <c r="O18" s="59" t="s">
        <v>55</v>
      </c>
      <c r="P18" s="60"/>
      <c r="Q18" s="61"/>
      <c r="R18" s="5"/>
      <c r="S18" s="5"/>
      <c r="T18" s="6"/>
    </row>
    <row r="19" spans="1:20" x14ac:dyDescent="0.25">
      <c r="A19" s="65" t="s">
        <v>5</v>
      </c>
      <c r="B19" s="44">
        <v>1.72</v>
      </c>
      <c r="C19" s="44">
        <v>3.1</v>
      </c>
      <c r="D19" s="44">
        <v>0.11</v>
      </c>
      <c r="E19" s="44">
        <v>0.25</v>
      </c>
      <c r="F19" s="45">
        <f t="shared" ref="F19:G24" si="1">F6</f>
        <v>2.9763653716087E-2</v>
      </c>
      <c r="G19" s="45">
        <f t="shared" si="1"/>
        <v>1.6759607424553499E-2</v>
      </c>
      <c r="H19" s="46">
        <v>798</v>
      </c>
      <c r="I19" s="47">
        <f>(F19/(F19+G19))*H19</f>
        <v>510.5273165102638</v>
      </c>
      <c r="J19" s="47">
        <f>(G19/(F19+G19))*H19</f>
        <v>287.47268348973626</v>
      </c>
      <c r="K19" s="48">
        <f>D19*I19</f>
        <v>56.158004816129015</v>
      </c>
      <c r="L19" s="48">
        <f>E19*J19</f>
        <v>71.868170872434064</v>
      </c>
      <c r="M19" s="54">
        <f>K19+L19</f>
        <v>128.02617568856309</v>
      </c>
      <c r="O19" s="25" t="s">
        <v>5</v>
      </c>
      <c r="P19" s="21">
        <f t="shared" ref="P19:P25" si="2">M6+M19</f>
        <v>225.07453669794728</v>
      </c>
      <c r="Q19" s="26"/>
      <c r="R19" s="12">
        <f t="shared" ref="R19:T25" si="3">K6+K19</f>
        <v>107.2107364671554</v>
      </c>
      <c r="S19" s="12">
        <f t="shared" si="3"/>
        <v>117.86380023079187</v>
      </c>
      <c r="T19" s="13">
        <f t="shared" si="3"/>
        <v>225.07453669794728</v>
      </c>
    </row>
    <row r="20" spans="1:20" x14ac:dyDescent="0.25">
      <c r="A20" s="65" t="s">
        <v>6</v>
      </c>
      <c r="B20" s="44">
        <v>1.51</v>
      </c>
      <c r="C20" s="44">
        <v>1.49</v>
      </c>
      <c r="D20" s="44">
        <v>0.08</v>
      </c>
      <c r="E20" s="44">
        <v>0.09</v>
      </c>
      <c r="F20" s="45">
        <f t="shared" si="1"/>
        <v>1.2787662816608999E-2</v>
      </c>
      <c r="G20" s="45">
        <f t="shared" si="1"/>
        <v>1.55784847726608E-2</v>
      </c>
      <c r="H20" s="46">
        <v>1118</v>
      </c>
      <c r="I20" s="47">
        <f>(F20/(F20+G20))*H20</f>
        <v>504.00241992595807</v>
      </c>
      <c r="J20" s="47">
        <f>(G20/(F20+G20))*H20</f>
        <v>613.99758007404182</v>
      </c>
      <c r="K20" s="48">
        <f>D20*I20</f>
        <v>40.320193594076649</v>
      </c>
      <c r="L20" s="48">
        <f>E20*J20</f>
        <v>55.259782206663765</v>
      </c>
      <c r="M20" s="54">
        <f>K20+L20</f>
        <v>95.579975800740414</v>
      </c>
      <c r="O20" s="25" t="s">
        <v>6</v>
      </c>
      <c r="P20" s="21">
        <f t="shared" si="2"/>
        <v>160.46007259777872</v>
      </c>
      <c r="Q20" s="26"/>
      <c r="R20" s="12">
        <f t="shared" si="3"/>
        <v>80.640387188153298</v>
      </c>
      <c r="S20" s="12">
        <f t="shared" si="3"/>
        <v>79.819685409625436</v>
      </c>
      <c r="T20" s="13">
        <f t="shared" si="3"/>
        <v>160.46007259777872</v>
      </c>
    </row>
    <row r="21" spans="1:20" x14ac:dyDescent="0.25">
      <c r="A21" s="65" t="s">
        <v>10</v>
      </c>
      <c r="B21" s="44">
        <v>6.74</v>
      </c>
      <c r="C21" s="44">
        <v>12.41</v>
      </c>
      <c r="D21" s="44">
        <v>0.41</v>
      </c>
      <c r="E21" s="44">
        <v>0.54</v>
      </c>
      <c r="F21" s="45">
        <f t="shared" si="1"/>
        <v>7.7837319776146802E-2</v>
      </c>
      <c r="G21" s="45">
        <f t="shared" si="1"/>
        <v>6.4630730381549498E-2</v>
      </c>
      <c r="H21" s="46">
        <v>4796</v>
      </c>
      <c r="I21" s="47">
        <f>(F21/(F21+G21))*H21</f>
        <v>2620.2912529032988</v>
      </c>
      <c r="J21" s="47">
        <f>(G21/(F21+G21))*H21</f>
        <v>2175.7087470967008</v>
      </c>
      <c r="K21" s="48">
        <f>D21*I21</f>
        <v>1074.3194136903523</v>
      </c>
      <c r="L21" s="48">
        <f>E21*J21</f>
        <v>1174.8827234322184</v>
      </c>
      <c r="M21" s="54">
        <f>K21+L21</f>
        <v>2249.202137122571</v>
      </c>
      <c r="O21" s="25" t="s">
        <v>10</v>
      </c>
      <c r="P21" s="21">
        <f t="shared" si="2"/>
        <v>3326.0792245935381</v>
      </c>
      <c r="Q21" s="76">
        <f>P21/P25</f>
        <v>0.87756304483222847</v>
      </c>
      <c r="R21" s="12">
        <f t="shared" si="3"/>
        <v>1650.7834893290781</v>
      </c>
      <c r="S21" s="12">
        <f t="shared" si="3"/>
        <v>1675.2957352644596</v>
      </c>
      <c r="T21" s="13">
        <f t="shared" si="3"/>
        <v>3326.0792245935381</v>
      </c>
    </row>
    <row r="22" spans="1:20" x14ac:dyDescent="0.25">
      <c r="A22" s="65" t="s">
        <v>11</v>
      </c>
      <c r="B22" s="44" t="s">
        <v>7</v>
      </c>
      <c r="C22" s="44">
        <v>1.1299999999999999</v>
      </c>
      <c r="D22" s="44" t="s">
        <v>7</v>
      </c>
      <c r="E22" s="44">
        <v>0.02</v>
      </c>
      <c r="F22" s="45">
        <f t="shared" si="1"/>
        <v>1.83044303171544E-5</v>
      </c>
      <c r="G22" s="45">
        <f t="shared" si="1"/>
        <v>3.2451662713967599E-3</v>
      </c>
      <c r="H22" s="46">
        <v>43</v>
      </c>
      <c r="I22" s="47">
        <v>0</v>
      </c>
      <c r="J22" s="47">
        <f>H22</f>
        <v>43</v>
      </c>
      <c r="K22" s="49">
        <v>0</v>
      </c>
      <c r="L22" s="48">
        <f>E22*J22</f>
        <v>0.86</v>
      </c>
      <c r="M22" s="54">
        <f>L22</f>
        <v>0.86</v>
      </c>
      <c r="O22" s="25" t="s">
        <v>11</v>
      </c>
      <c r="P22" s="21">
        <f t="shared" si="2"/>
        <v>2.15</v>
      </c>
      <c r="Q22" s="26"/>
      <c r="R22" s="12" t="s">
        <v>7</v>
      </c>
      <c r="S22" s="12">
        <f t="shared" si="3"/>
        <v>2.15</v>
      </c>
      <c r="T22" s="13">
        <f t="shared" si="3"/>
        <v>2.15</v>
      </c>
    </row>
    <row r="23" spans="1:20" x14ac:dyDescent="0.25">
      <c r="A23" s="65" t="s">
        <v>8</v>
      </c>
      <c r="B23" s="44">
        <v>1.95</v>
      </c>
      <c r="C23" s="44">
        <v>1.66</v>
      </c>
      <c r="D23" s="44">
        <v>0.13</v>
      </c>
      <c r="E23" s="44">
        <v>0.1</v>
      </c>
      <c r="F23" s="45">
        <f t="shared" si="1"/>
        <v>6.0869445111917501E-4</v>
      </c>
      <c r="G23" s="45">
        <f t="shared" si="1"/>
        <v>3.3655986084177601E-4</v>
      </c>
      <c r="H23" s="46">
        <v>45</v>
      </c>
      <c r="I23" s="47">
        <f>(F23/(F23+G23))*H23</f>
        <v>28.977651785093812</v>
      </c>
      <c r="J23" s="47">
        <f>(G23/(F23+G23))*H23</f>
        <v>16.022348214906188</v>
      </c>
      <c r="K23" s="48">
        <f>D23*I23</f>
        <v>3.7670947320621955</v>
      </c>
      <c r="L23" s="48">
        <f>E23*J23</f>
        <v>1.6022348214906188</v>
      </c>
      <c r="M23" s="54">
        <f>K23+L23</f>
        <v>5.3693295535528147</v>
      </c>
      <c r="O23" s="25" t="s">
        <v>8</v>
      </c>
      <c r="P23" s="21">
        <f t="shared" si="2"/>
        <v>11.928435624956567</v>
      </c>
      <c r="Q23" s="26"/>
      <c r="R23" s="12">
        <f>K10+K23</f>
        <v>8.4035190176772048</v>
      </c>
      <c r="S23" s="12">
        <f t="shared" si="3"/>
        <v>3.5249166072793612</v>
      </c>
      <c r="T23" s="13">
        <f t="shared" si="3"/>
        <v>11.928435624956567</v>
      </c>
    </row>
    <row r="24" spans="1:20" ht="17.100000000000001" customHeight="1" x14ac:dyDescent="0.25">
      <c r="A24" s="65" t="s">
        <v>9</v>
      </c>
      <c r="B24" s="44">
        <v>1.43</v>
      </c>
      <c r="C24" s="44">
        <v>1.78</v>
      </c>
      <c r="D24" s="44">
        <v>7.0000000000000007E-2</v>
      </c>
      <c r="E24" s="44">
        <v>0.13</v>
      </c>
      <c r="F24" s="45">
        <f t="shared" si="1"/>
        <v>2.5414263168568801E-2</v>
      </c>
      <c r="G24" s="45">
        <f t="shared" si="1"/>
        <v>6.4630730381549498E-2</v>
      </c>
      <c r="H24" s="46">
        <v>352</v>
      </c>
      <c r="I24" s="47">
        <f>(F24/(F24+G24))*H24</f>
        <v>99.348340009120534</v>
      </c>
      <c r="J24" s="47">
        <f>(G24/(F24+G24))*H24</f>
        <v>252.65165999087947</v>
      </c>
      <c r="K24" s="48">
        <f>D24*I24</f>
        <v>6.9543838006384382</v>
      </c>
      <c r="L24" s="48">
        <f>E24*J24</f>
        <v>32.844715798814335</v>
      </c>
      <c r="M24" s="54">
        <f>K24+L24</f>
        <v>39.799099599452774</v>
      </c>
      <c r="O24" s="25" t="s">
        <v>9</v>
      </c>
      <c r="P24" s="21">
        <f t="shared" si="2"/>
        <v>64.439099599452774</v>
      </c>
      <c r="Q24" s="26"/>
      <c r="R24" s="12">
        <f>K11+K24</f>
        <v>13.908767601276876</v>
      </c>
      <c r="S24" s="12">
        <f t="shared" si="3"/>
        <v>50.530331998175896</v>
      </c>
      <c r="T24" s="13">
        <f t="shared" si="3"/>
        <v>64.439099599452774</v>
      </c>
    </row>
    <row r="25" spans="1:20" ht="12" customHeight="1" thickBot="1" x14ac:dyDescent="0.3">
      <c r="A25" s="55"/>
      <c r="B25" s="56"/>
      <c r="C25" s="56"/>
      <c r="D25" s="56"/>
      <c r="E25" s="56"/>
      <c r="F25" s="56"/>
      <c r="G25" s="56"/>
      <c r="H25" s="58">
        <f t="shared" ref="H25:M25" si="4">SUM(H19:H24)</f>
        <v>7152</v>
      </c>
      <c r="I25" s="58">
        <f t="shared" si="4"/>
        <v>3763.1469811337347</v>
      </c>
      <c r="J25" s="58">
        <f t="shared" si="4"/>
        <v>3388.8530188662648</v>
      </c>
      <c r="K25" s="58">
        <f t="shared" si="4"/>
        <v>1181.5190906332587</v>
      </c>
      <c r="L25" s="58">
        <f t="shared" si="4"/>
        <v>1337.3176271316211</v>
      </c>
      <c r="M25" s="58">
        <f t="shared" si="4"/>
        <v>2518.8367177648802</v>
      </c>
      <c r="O25" s="27" t="s">
        <v>16</v>
      </c>
      <c r="P25" s="28">
        <f t="shared" si="2"/>
        <v>3790.1313691136734</v>
      </c>
      <c r="Q25" s="29" t="s">
        <v>18</v>
      </c>
      <c r="R25" s="122">
        <f>K12+K25</f>
        <v>1860.9468996033409</v>
      </c>
      <c r="S25" s="122">
        <f t="shared" si="3"/>
        <v>1929.1844695103321</v>
      </c>
      <c r="T25" s="123">
        <f t="shared" si="3"/>
        <v>3790.1313691136734</v>
      </c>
    </row>
    <row r="26" spans="1:20" ht="15.75" thickBot="1" x14ac:dyDescent="0.3"/>
    <row r="27" spans="1:20" ht="15.75" x14ac:dyDescent="0.25">
      <c r="A27" s="66" t="s">
        <v>13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0"/>
    </row>
    <row r="28" spans="1:20" ht="21" customHeight="1" x14ac:dyDescent="0.25">
      <c r="A28" s="101"/>
      <c r="B28" s="97" t="s">
        <v>17</v>
      </c>
      <c r="C28" s="97"/>
      <c r="D28" s="97" t="s">
        <v>54</v>
      </c>
      <c r="E28" s="97"/>
      <c r="F28" s="111" t="s">
        <v>81</v>
      </c>
      <c r="G28" s="97" t="s">
        <v>52</v>
      </c>
      <c r="H28" s="97"/>
      <c r="I28" s="97" t="s">
        <v>57</v>
      </c>
      <c r="J28" s="102" t="s">
        <v>58</v>
      </c>
    </row>
    <row r="29" spans="1:20" ht="11.45" customHeight="1" x14ac:dyDescent="0.25">
      <c r="A29" s="101"/>
      <c r="B29" s="97"/>
      <c r="C29" s="97"/>
      <c r="D29" s="97"/>
      <c r="E29" s="97"/>
      <c r="F29" s="112"/>
      <c r="G29" s="97"/>
      <c r="H29" s="97"/>
      <c r="I29" s="97"/>
      <c r="J29" s="103"/>
    </row>
    <row r="30" spans="1:20" ht="14.1" customHeight="1" x14ac:dyDescent="0.25">
      <c r="A30" s="101"/>
      <c r="B30" s="97"/>
      <c r="C30" s="97"/>
      <c r="D30" s="97"/>
      <c r="E30" s="97"/>
      <c r="F30" s="112"/>
      <c r="G30" s="97"/>
      <c r="H30" s="97"/>
      <c r="I30" s="97"/>
      <c r="J30" s="103"/>
    </row>
    <row r="31" spans="1:20" ht="23.25" customHeight="1" x14ac:dyDescent="0.25">
      <c r="A31" s="51" t="s">
        <v>0</v>
      </c>
      <c r="B31" s="43" t="s">
        <v>1</v>
      </c>
      <c r="C31" s="43" t="s">
        <v>2</v>
      </c>
      <c r="D31" s="43" t="s">
        <v>1</v>
      </c>
      <c r="E31" s="43" t="s">
        <v>2</v>
      </c>
      <c r="F31" s="113"/>
      <c r="G31" s="43" t="s">
        <v>1</v>
      </c>
      <c r="H31" s="43" t="s">
        <v>2</v>
      </c>
      <c r="I31" s="42"/>
      <c r="J31" s="104"/>
    </row>
    <row r="32" spans="1:20" x14ac:dyDescent="0.25">
      <c r="A32" s="65" t="s">
        <v>5</v>
      </c>
      <c r="B32" s="49">
        <v>1.29</v>
      </c>
      <c r="C32" s="49">
        <v>1.8</v>
      </c>
      <c r="D32" s="44">
        <v>0.1</v>
      </c>
      <c r="E32" s="44">
        <v>0.16</v>
      </c>
      <c r="F32" s="44">
        <f>(0.842*D32)+(0.158*E32)</f>
        <v>0.10947999999999999</v>
      </c>
      <c r="G32" s="45">
        <f>F19</f>
        <v>2.9763653716087E-2</v>
      </c>
      <c r="H32" s="45">
        <f>G19</f>
        <v>1.6759607424553499E-2</v>
      </c>
      <c r="I32" s="46">
        <v>1518</v>
      </c>
      <c r="J32" s="54">
        <f>I32*F32</f>
        <v>166.19064</v>
      </c>
    </row>
    <row r="33" spans="1:17" x14ac:dyDescent="0.25">
      <c r="A33" s="65" t="s">
        <v>6</v>
      </c>
      <c r="B33" s="49">
        <v>1.23</v>
      </c>
      <c r="C33" s="49">
        <v>1.1499999999999999</v>
      </c>
      <c r="D33" s="44">
        <v>0.08</v>
      </c>
      <c r="E33" s="44">
        <v>0.04</v>
      </c>
      <c r="F33" s="44">
        <f>(0.842*D33)+(0.158*E33)</f>
        <v>7.3680000000000009E-2</v>
      </c>
      <c r="G33" s="45">
        <f>F20</f>
        <v>1.2787662816608999E-2</v>
      </c>
      <c r="H33" s="45">
        <f>G20</f>
        <v>1.55784847726608E-2</v>
      </c>
      <c r="I33" s="46">
        <v>855</v>
      </c>
      <c r="J33" s="54">
        <f>I33*F33</f>
        <v>62.996400000000008</v>
      </c>
    </row>
    <row r="34" spans="1:17" x14ac:dyDescent="0.25">
      <c r="A34" s="65" t="s">
        <v>10</v>
      </c>
      <c r="B34" s="49">
        <v>2.4</v>
      </c>
      <c r="C34" s="49">
        <v>3.92</v>
      </c>
      <c r="D34" s="44">
        <v>0.22</v>
      </c>
      <c r="E34" s="44">
        <v>0.23</v>
      </c>
      <c r="F34" s="44">
        <f>(0.842*D34)+(0.158*E34)</f>
        <v>0.22158</v>
      </c>
      <c r="G34" s="45">
        <f>F21</f>
        <v>7.7837319776146802E-2</v>
      </c>
      <c r="H34" s="45">
        <f>G21</f>
        <v>6.4630730381549498E-2</v>
      </c>
      <c r="I34" s="46">
        <v>1290</v>
      </c>
      <c r="J34" s="54">
        <f>I34*F34</f>
        <v>285.83819999999997</v>
      </c>
    </row>
    <row r="35" spans="1:17" x14ac:dyDescent="0.25">
      <c r="A35" s="65" t="s">
        <v>11</v>
      </c>
      <c r="B35" s="49" t="s">
        <v>7</v>
      </c>
      <c r="C35" s="49">
        <v>1.08</v>
      </c>
      <c r="D35" s="44" t="s">
        <v>7</v>
      </c>
      <c r="E35" s="44">
        <v>0.03</v>
      </c>
      <c r="F35" s="44">
        <f>(0.842*0)+(0.158*E35)</f>
        <v>4.7400000000000003E-3</v>
      </c>
      <c r="G35" s="45">
        <f>F22</f>
        <v>1.83044303171544E-5</v>
      </c>
      <c r="H35" s="45">
        <f>G22</f>
        <v>3.2451662713967599E-3</v>
      </c>
      <c r="I35" s="46">
        <v>219</v>
      </c>
      <c r="J35" s="54">
        <f>I35*F35</f>
        <v>1.03806</v>
      </c>
    </row>
    <row r="36" spans="1:17" x14ac:dyDescent="0.25">
      <c r="A36" s="65" t="s">
        <v>8</v>
      </c>
      <c r="B36" s="49">
        <v>1.51</v>
      </c>
      <c r="C36" s="49">
        <v>1.45</v>
      </c>
      <c r="D36" s="44">
        <v>0.16</v>
      </c>
      <c r="E36" s="44">
        <v>0.12</v>
      </c>
      <c r="F36" s="44">
        <f>(0.842*D36)+(0.158*E36)</f>
        <v>0.15368000000000001</v>
      </c>
      <c r="G36" s="45">
        <f>F23</f>
        <v>6.0869445111917501E-4</v>
      </c>
      <c r="H36" s="45">
        <f>G23</f>
        <v>3.3655986084177601E-4</v>
      </c>
      <c r="I36" s="46">
        <v>78</v>
      </c>
      <c r="J36" s="54">
        <f>I36*F36</f>
        <v>11.98704</v>
      </c>
    </row>
    <row r="37" spans="1:17" x14ac:dyDescent="0.25">
      <c r="A37" s="53" t="s">
        <v>9</v>
      </c>
      <c r="B37" s="67">
        <v>1.2</v>
      </c>
      <c r="C37" s="67">
        <v>1.25</v>
      </c>
      <c r="D37" s="70">
        <v>7.0000000000000007E-2</v>
      </c>
      <c r="E37" s="70">
        <v>7.0000000000000007E-2</v>
      </c>
      <c r="F37" s="44">
        <f>(0.842*D37)+(0.158*E37)</f>
        <v>7.0000000000000007E-2</v>
      </c>
      <c r="G37" s="45">
        <f>F24</f>
        <v>2.5414263168568801E-2</v>
      </c>
      <c r="H37" s="45">
        <f>G24</f>
        <v>6.4630730381549498E-2</v>
      </c>
      <c r="I37" s="68">
        <v>1857</v>
      </c>
      <c r="J37" s="54">
        <f>I37*F37</f>
        <v>129.99</v>
      </c>
    </row>
    <row r="38" spans="1:17" ht="14.45" customHeight="1" thickBot="1" x14ac:dyDescent="0.3">
      <c r="A38" s="55"/>
      <c r="B38" s="56"/>
      <c r="C38" s="56"/>
      <c r="D38" s="56"/>
      <c r="E38" s="56"/>
      <c r="F38" s="56"/>
      <c r="G38" s="56"/>
      <c r="H38" s="56"/>
      <c r="I38" s="57"/>
      <c r="J38" s="58">
        <f>SUM(J32:J37)</f>
        <v>658.0403399999999</v>
      </c>
    </row>
    <row r="39" spans="1:17" ht="15.75" thickBot="1" x14ac:dyDescent="0.3">
      <c r="K39" s="10"/>
      <c r="L39" s="10"/>
      <c r="M39" s="10"/>
    </row>
    <row r="40" spans="1:17" ht="16.5" thickBot="1" x14ac:dyDescent="0.3">
      <c r="A40" s="99" t="s">
        <v>14</v>
      </c>
      <c r="B40" s="100"/>
      <c r="C40" s="100"/>
      <c r="D40" s="100"/>
      <c r="E40" s="32"/>
      <c r="F40" s="32"/>
      <c r="G40" s="32"/>
      <c r="H40" s="32"/>
      <c r="I40" s="36"/>
      <c r="J40" s="34"/>
      <c r="K40" s="33"/>
      <c r="L40" s="33"/>
      <c r="M40" s="33"/>
      <c r="N40" s="33"/>
    </row>
    <row r="41" spans="1:17" ht="21" customHeight="1" x14ac:dyDescent="0.25">
      <c r="A41" s="101"/>
      <c r="B41" s="97" t="s">
        <v>17</v>
      </c>
      <c r="C41" s="97"/>
      <c r="D41" s="97" t="s">
        <v>54</v>
      </c>
      <c r="E41" s="97"/>
      <c r="F41" s="111" t="s">
        <v>81</v>
      </c>
      <c r="G41" s="97" t="s">
        <v>52</v>
      </c>
      <c r="H41" s="97"/>
      <c r="I41" s="97" t="s">
        <v>57</v>
      </c>
      <c r="J41" s="96" t="s">
        <v>56</v>
      </c>
      <c r="L41" s="23" t="s">
        <v>29</v>
      </c>
      <c r="M41" s="24"/>
      <c r="N41" s="74"/>
      <c r="O41" s="10"/>
    </row>
    <row r="42" spans="1:17" ht="11.45" customHeight="1" x14ac:dyDescent="0.25">
      <c r="A42" s="101"/>
      <c r="B42" s="97"/>
      <c r="C42" s="97"/>
      <c r="D42" s="97"/>
      <c r="E42" s="97"/>
      <c r="F42" s="112"/>
      <c r="G42" s="97"/>
      <c r="H42" s="97"/>
      <c r="I42" s="97"/>
      <c r="J42" s="96"/>
      <c r="L42" s="25" t="s">
        <v>5</v>
      </c>
      <c r="M42" s="124">
        <f>J32+J45</f>
        <v>366.74879999999996</v>
      </c>
      <c r="N42" s="74"/>
      <c r="O42" s="10"/>
    </row>
    <row r="43" spans="1:17" ht="30.75" customHeight="1" x14ac:dyDescent="0.25">
      <c r="A43" s="101"/>
      <c r="B43" s="97"/>
      <c r="C43" s="97"/>
      <c r="D43" s="97"/>
      <c r="E43" s="97"/>
      <c r="F43" s="112"/>
      <c r="G43" s="97"/>
      <c r="H43" s="97"/>
      <c r="I43" s="97"/>
      <c r="J43" s="96"/>
      <c r="L43" s="25" t="s">
        <v>6</v>
      </c>
      <c r="M43" s="124">
        <f>J33+J46</f>
        <v>132.7473</v>
      </c>
      <c r="N43" s="74"/>
      <c r="O43" s="10"/>
    </row>
    <row r="44" spans="1:17" x14ac:dyDescent="0.25">
      <c r="A44" s="51" t="s">
        <v>0</v>
      </c>
      <c r="B44" s="43" t="s">
        <v>1</v>
      </c>
      <c r="C44" s="43" t="s">
        <v>2</v>
      </c>
      <c r="D44" s="43" t="s">
        <v>1</v>
      </c>
      <c r="E44" s="43" t="s">
        <v>2</v>
      </c>
      <c r="F44" s="113"/>
      <c r="G44" s="43" t="s">
        <v>1</v>
      </c>
      <c r="H44" s="43" t="s">
        <v>2</v>
      </c>
      <c r="I44" s="42"/>
      <c r="J44" s="52"/>
      <c r="L44" s="25" t="s">
        <v>10</v>
      </c>
      <c r="M44" s="124">
        <f>J34+J47</f>
        <v>841.23479999999995</v>
      </c>
      <c r="N44" s="74"/>
      <c r="O44" s="10"/>
    </row>
    <row r="45" spans="1:17" x14ac:dyDescent="0.25">
      <c r="A45" s="65" t="s">
        <v>5</v>
      </c>
      <c r="B45" s="44">
        <v>1.72</v>
      </c>
      <c r="C45" s="44">
        <v>3.1</v>
      </c>
      <c r="D45" s="44">
        <v>0.11</v>
      </c>
      <c r="E45" s="44">
        <v>0.25</v>
      </c>
      <c r="F45" s="44">
        <f>(0.842*D45)+(0.158*E45)</f>
        <v>0.13211999999999999</v>
      </c>
      <c r="G45" s="45">
        <f t="shared" ref="G45:H50" si="5">G32</f>
        <v>2.9763653716087E-2</v>
      </c>
      <c r="H45" s="45">
        <f t="shared" si="5"/>
        <v>1.6759607424553499E-2</v>
      </c>
      <c r="I45" s="46">
        <v>1518</v>
      </c>
      <c r="J45" s="54">
        <f>F45*I45</f>
        <v>200.55815999999999</v>
      </c>
      <c r="L45" s="25" t="s">
        <v>11</v>
      </c>
      <c r="M45" s="124">
        <f>J35+J48</f>
        <v>1.7301</v>
      </c>
      <c r="N45" s="74"/>
      <c r="O45" s="12"/>
      <c r="P45" s="1" t="e">
        <f>#REF!+#REF!</f>
        <v>#REF!</v>
      </c>
      <c r="Q45" s="1">
        <f>J32+J45</f>
        <v>366.74879999999996</v>
      </c>
    </row>
    <row r="46" spans="1:17" x14ac:dyDescent="0.25">
      <c r="A46" s="65" t="s">
        <v>6</v>
      </c>
      <c r="B46" s="44">
        <v>1.51</v>
      </c>
      <c r="C46" s="44">
        <v>1.49</v>
      </c>
      <c r="D46" s="44">
        <v>0.08</v>
      </c>
      <c r="E46" s="44">
        <v>0.09</v>
      </c>
      <c r="F46" s="44">
        <f>(0.842*D46)+(0.158*E46)</f>
        <v>8.158E-2</v>
      </c>
      <c r="G46" s="45">
        <f t="shared" si="5"/>
        <v>1.2787662816608999E-2</v>
      </c>
      <c r="H46" s="45">
        <f t="shared" si="5"/>
        <v>1.55784847726608E-2</v>
      </c>
      <c r="I46" s="46">
        <v>855</v>
      </c>
      <c r="J46" s="54">
        <f>F46*I46</f>
        <v>69.750900000000001</v>
      </c>
      <c r="L46" s="25" t="s">
        <v>8</v>
      </c>
      <c r="M46" s="124">
        <f>J36+J49</f>
        <v>21.75732</v>
      </c>
      <c r="N46" s="74"/>
      <c r="O46" s="12"/>
      <c r="P46" s="1" t="e">
        <f>#REF!+#REF!</f>
        <v>#REF!</v>
      </c>
      <c r="Q46" s="1">
        <f>J33+J46</f>
        <v>132.7473</v>
      </c>
    </row>
    <row r="47" spans="1:17" x14ac:dyDescent="0.25">
      <c r="A47" s="65" t="s">
        <v>10</v>
      </c>
      <c r="B47" s="44">
        <v>6.74</v>
      </c>
      <c r="C47" s="44">
        <v>12.41</v>
      </c>
      <c r="D47" s="44">
        <v>0.41</v>
      </c>
      <c r="E47" s="44">
        <v>0.54</v>
      </c>
      <c r="F47" s="44">
        <f>(0.842*D47)+(0.158*E47)</f>
        <v>0.43053999999999998</v>
      </c>
      <c r="G47" s="45">
        <f t="shared" si="5"/>
        <v>7.7837319776146802E-2</v>
      </c>
      <c r="H47" s="45">
        <f t="shared" si="5"/>
        <v>6.4630730381549498E-2</v>
      </c>
      <c r="I47" s="46">
        <v>1290</v>
      </c>
      <c r="J47" s="54">
        <f>F47*I47</f>
        <v>555.39659999999992</v>
      </c>
      <c r="L47" s="25" t="s">
        <v>9</v>
      </c>
      <c r="M47" s="124">
        <f>J37+J50</f>
        <v>277.58436000000006</v>
      </c>
      <c r="N47" s="74"/>
      <c r="O47" s="12"/>
      <c r="P47" s="1" t="e">
        <f>#REF!+#REF!</f>
        <v>#REF!</v>
      </c>
      <c r="Q47" s="1">
        <f>J34+J47</f>
        <v>841.23479999999995</v>
      </c>
    </row>
    <row r="48" spans="1:17" ht="15.75" thickBot="1" x14ac:dyDescent="0.3">
      <c r="A48" s="65" t="s">
        <v>11</v>
      </c>
      <c r="B48" s="44" t="s">
        <v>7</v>
      </c>
      <c r="C48" s="44">
        <v>1.1299999999999999</v>
      </c>
      <c r="D48" s="44" t="s">
        <v>7</v>
      </c>
      <c r="E48" s="44">
        <v>0.02</v>
      </c>
      <c r="F48" s="44">
        <f>(0.842*0)+(0.158*E48)</f>
        <v>3.16E-3</v>
      </c>
      <c r="G48" s="45">
        <f t="shared" si="5"/>
        <v>1.83044303171544E-5</v>
      </c>
      <c r="H48" s="45">
        <f t="shared" si="5"/>
        <v>3.2451662713967599E-3</v>
      </c>
      <c r="I48" s="46">
        <v>219</v>
      </c>
      <c r="J48" s="54">
        <f>F48*I48</f>
        <v>0.69203999999999999</v>
      </c>
      <c r="L48" s="27" t="s">
        <v>19</v>
      </c>
      <c r="M48" s="125">
        <f>J38+J51</f>
        <v>1641.8026799999998</v>
      </c>
      <c r="N48" s="74"/>
      <c r="O48" s="12"/>
      <c r="P48" s="1" t="e">
        <f>#REF!+#REF!</f>
        <v>#REF!</v>
      </c>
      <c r="Q48" s="1">
        <f>J35+J48</f>
        <v>1.7301</v>
      </c>
    </row>
    <row r="49" spans="1:17" x14ac:dyDescent="0.25">
      <c r="A49" s="65" t="s">
        <v>8</v>
      </c>
      <c r="B49" s="44">
        <v>1.95</v>
      </c>
      <c r="C49" s="44">
        <v>1.66</v>
      </c>
      <c r="D49" s="44">
        <v>0.13</v>
      </c>
      <c r="E49" s="44">
        <v>0.1</v>
      </c>
      <c r="F49" s="44">
        <f>(0.842*D49)+(0.158*E49)</f>
        <v>0.12526000000000001</v>
      </c>
      <c r="G49" s="45">
        <f t="shared" si="5"/>
        <v>6.0869445111917501E-4</v>
      </c>
      <c r="H49" s="45">
        <f t="shared" si="5"/>
        <v>3.3655986084177601E-4</v>
      </c>
      <c r="I49" s="46">
        <v>78</v>
      </c>
      <c r="J49" s="54">
        <f>F49*I49</f>
        <v>9.7702800000000014</v>
      </c>
      <c r="O49" s="1"/>
      <c r="P49" s="1" t="e">
        <f>#REF!+#REF!</f>
        <v>#REF!</v>
      </c>
      <c r="Q49" s="1">
        <f>J36+J49</f>
        <v>21.75732</v>
      </c>
    </row>
    <row r="50" spans="1:17" x14ac:dyDescent="0.25">
      <c r="A50" s="53" t="s">
        <v>9</v>
      </c>
      <c r="B50" s="44">
        <v>1.43</v>
      </c>
      <c r="C50" s="44">
        <v>1.78</v>
      </c>
      <c r="D50" s="44">
        <v>7.0000000000000007E-2</v>
      </c>
      <c r="E50" s="44">
        <v>0.13</v>
      </c>
      <c r="F50" s="44">
        <f>(0.842*D50)+(0.158*E50)</f>
        <v>7.9480000000000009E-2</v>
      </c>
      <c r="G50" s="45">
        <f t="shared" si="5"/>
        <v>2.5414263168568801E-2</v>
      </c>
      <c r="H50" s="45">
        <f t="shared" si="5"/>
        <v>6.4630730381549498E-2</v>
      </c>
      <c r="I50" s="68">
        <v>1857</v>
      </c>
      <c r="J50" s="54">
        <f>F50*I50</f>
        <v>147.59436000000002</v>
      </c>
      <c r="O50" s="1"/>
      <c r="P50" s="1" t="e">
        <f>#REF!+#REF!</f>
        <v>#REF!</v>
      </c>
      <c r="Q50" s="1">
        <f>J37+J50</f>
        <v>277.58436000000006</v>
      </c>
    </row>
    <row r="51" spans="1:17" ht="14.45" customHeight="1" thickBot="1" x14ac:dyDescent="0.3">
      <c r="A51" s="55"/>
      <c r="B51" s="56"/>
      <c r="C51" s="56"/>
      <c r="D51" s="56"/>
      <c r="E51" s="56"/>
      <c r="F51" s="56"/>
      <c r="G51" s="56"/>
      <c r="H51" s="56"/>
      <c r="I51" s="57"/>
      <c r="J51" s="126">
        <f>SUM(J45:J50)</f>
        <v>983.76233999999988</v>
      </c>
      <c r="O51" s="1"/>
      <c r="P51" s="1" t="e">
        <f>#REF!+#REF!</f>
        <v>#REF!</v>
      </c>
      <c r="Q51" s="1">
        <f>J38+J51</f>
        <v>1641.8026799999998</v>
      </c>
    </row>
    <row r="52" spans="1:17" ht="14.45" customHeight="1" thickBot="1" x14ac:dyDescent="0.3">
      <c r="A52" s="33"/>
      <c r="B52" s="33"/>
      <c r="C52" s="33"/>
      <c r="D52" s="33"/>
      <c r="E52" s="33"/>
      <c r="F52" s="33"/>
      <c r="G52" s="33"/>
      <c r="H52" s="33"/>
      <c r="I52" s="37"/>
      <c r="J52" s="33"/>
      <c r="K52" s="33"/>
      <c r="L52" s="33"/>
      <c r="M52" s="33"/>
      <c r="N52" s="39"/>
    </row>
    <row r="53" spans="1:17" ht="15.75" x14ac:dyDescent="0.25">
      <c r="A53" s="66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10"/>
      <c r="L53" s="10"/>
      <c r="M53" s="10"/>
      <c r="N53" s="10"/>
    </row>
    <row r="54" spans="1:17" ht="21" customHeight="1" x14ac:dyDescent="0.25">
      <c r="A54" s="101"/>
      <c r="B54" s="97" t="s">
        <v>17</v>
      </c>
      <c r="C54" s="97"/>
      <c r="D54" s="97" t="s">
        <v>54</v>
      </c>
      <c r="E54" s="97"/>
      <c r="F54" s="111" t="s">
        <v>81</v>
      </c>
      <c r="G54" s="97" t="s">
        <v>52</v>
      </c>
      <c r="H54" s="97"/>
      <c r="I54" s="97" t="s">
        <v>66</v>
      </c>
      <c r="J54" s="96" t="s">
        <v>67</v>
      </c>
      <c r="L54" s="10"/>
      <c r="M54" s="10"/>
      <c r="N54" s="10"/>
    </row>
    <row r="55" spans="1:17" ht="12.6" customHeight="1" x14ac:dyDescent="0.25">
      <c r="A55" s="101"/>
      <c r="B55" s="97"/>
      <c r="C55" s="97"/>
      <c r="D55" s="97"/>
      <c r="E55" s="97"/>
      <c r="F55" s="112"/>
      <c r="G55" s="97"/>
      <c r="H55" s="97"/>
      <c r="I55" s="97"/>
      <c r="J55" s="96"/>
      <c r="L55" s="10"/>
      <c r="M55" s="10"/>
      <c r="N55" s="10"/>
    </row>
    <row r="56" spans="1:17" ht="17.100000000000001" customHeight="1" x14ac:dyDescent="0.25">
      <c r="A56" s="101"/>
      <c r="B56" s="97"/>
      <c r="C56" s="97"/>
      <c r="D56" s="97"/>
      <c r="E56" s="97"/>
      <c r="F56" s="112"/>
      <c r="G56" s="97"/>
      <c r="H56" s="97"/>
      <c r="I56" s="97"/>
      <c r="J56" s="96"/>
      <c r="L56" s="10"/>
      <c r="M56" s="10"/>
      <c r="N56" s="10"/>
    </row>
    <row r="57" spans="1:17" x14ac:dyDescent="0.25">
      <c r="A57" s="51" t="s">
        <v>0</v>
      </c>
      <c r="B57" s="43" t="s">
        <v>1</v>
      </c>
      <c r="C57" s="43" t="s">
        <v>2</v>
      </c>
      <c r="D57" s="43" t="s">
        <v>1</v>
      </c>
      <c r="E57" s="43" t="s">
        <v>2</v>
      </c>
      <c r="F57" s="113"/>
      <c r="G57" s="43" t="s">
        <v>1</v>
      </c>
      <c r="H57" s="43" t="s">
        <v>2</v>
      </c>
      <c r="I57" s="42"/>
      <c r="J57" s="52"/>
      <c r="L57" s="74"/>
      <c r="M57" s="74"/>
      <c r="N57" s="74"/>
    </row>
    <row r="58" spans="1:17" x14ac:dyDescent="0.25">
      <c r="A58" s="53" t="s">
        <v>5</v>
      </c>
      <c r="B58" s="70">
        <v>1.29</v>
      </c>
      <c r="C58" s="70">
        <v>1.8</v>
      </c>
      <c r="D58" s="70">
        <v>0.1</v>
      </c>
      <c r="E58" s="70">
        <v>0.16</v>
      </c>
      <c r="F58" s="44">
        <f>(0.842*D58)+(0.158*E58)</f>
        <v>0.10947999999999999</v>
      </c>
      <c r="G58" s="45">
        <f t="shared" ref="G58:H63" si="6">G45</f>
        <v>2.9763653716087E-2</v>
      </c>
      <c r="H58" s="45">
        <f t="shared" si="6"/>
        <v>1.6759607424553499E-2</v>
      </c>
      <c r="I58" s="68">
        <v>3686</v>
      </c>
      <c r="J58" s="69">
        <f>F58*I58</f>
        <v>403.54327999999998</v>
      </c>
      <c r="L58" s="10"/>
      <c r="M58" s="10"/>
      <c r="N58" s="10"/>
    </row>
    <row r="59" spans="1:17" x14ac:dyDescent="0.25">
      <c r="A59" s="53" t="s">
        <v>6</v>
      </c>
      <c r="B59" s="70">
        <v>1.23</v>
      </c>
      <c r="C59" s="70">
        <v>1.1499999999999999</v>
      </c>
      <c r="D59" s="70">
        <v>0.08</v>
      </c>
      <c r="E59" s="70">
        <v>0.04</v>
      </c>
      <c r="F59" s="44">
        <f>(0.842*D59)+(0.158*E59)</f>
        <v>7.3680000000000009E-2</v>
      </c>
      <c r="G59" s="45">
        <f t="shared" si="6"/>
        <v>1.2787662816608999E-2</v>
      </c>
      <c r="H59" s="45">
        <f t="shared" si="6"/>
        <v>1.55784847726608E-2</v>
      </c>
      <c r="I59" s="68">
        <v>2077</v>
      </c>
      <c r="J59" s="69">
        <f>F59*I59</f>
        <v>153.03336000000002</v>
      </c>
      <c r="L59" s="10"/>
      <c r="M59" s="10"/>
      <c r="N59" s="10"/>
    </row>
    <row r="60" spans="1:17" x14ac:dyDescent="0.25">
      <c r="A60" s="53" t="s">
        <v>10</v>
      </c>
      <c r="B60" s="70">
        <v>2.4</v>
      </c>
      <c r="C60" s="70">
        <v>3.92</v>
      </c>
      <c r="D60" s="70">
        <v>0.22</v>
      </c>
      <c r="E60" s="70">
        <v>0.23</v>
      </c>
      <c r="F60" s="44">
        <f>(0.842*D60)+(0.158*E60)</f>
        <v>0.22158</v>
      </c>
      <c r="G60" s="45">
        <f t="shared" si="6"/>
        <v>7.7837319776146802E-2</v>
      </c>
      <c r="H60" s="45">
        <f t="shared" si="6"/>
        <v>6.4630730381549498E-2</v>
      </c>
      <c r="I60" s="68">
        <v>18386</v>
      </c>
      <c r="J60" s="69">
        <f>F60*I60</f>
        <v>4073.9698800000001</v>
      </c>
      <c r="L60" s="10"/>
      <c r="M60" s="10"/>
      <c r="N60" s="10"/>
    </row>
    <row r="61" spans="1:17" x14ac:dyDescent="0.25">
      <c r="A61" s="53" t="s">
        <v>11</v>
      </c>
      <c r="B61" s="44" t="s">
        <v>7</v>
      </c>
      <c r="C61" s="44">
        <v>1.08</v>
      </c>
      <c r="D61" s="44" t="s">
        <v>7</v>
      </c>
      <c r="E61" s="44">
        <v>0.03</v>
      </c>
      <c r="F61" s="44">
        <f>(0.842*0)+(0.158*E61)</f>
        <v>4.7400000000000003E-3</v>
      </c>
      <c r="G61" s="45">
        <f t="shared" si="6"/>
        <v>1.83044303171544E-5</v>
      </c>
      <c r="H61" s="45">
        <f t="shared" si="6"/>
        <v>3.2451662713967599E-3</v>
      </c>
      <c r="I61" s="46">
        <v>265</v>
      </c>
      <c r="J61" s="69">
        <f>F61*I61</f>
        <v>1.2561</v>
      </c>
      <c r="L61" s="10"/>
      <c r="M61" s="10"/>
      <c r="N61" s="10"/>
    </row>
    <row r="62" spans="1:17" x14ac:dyDescent="0.25">
      <c r="A62" s="53" t="s">
        <v>8</v>
      </c>
      <c r="B62" s="44">
        <v>1.51</v>
      </c>
      <c r="C62" s="44">
        <v>1.45</v>
      </c>
      <c r="D62" s="44">
        <v>0.16</v>
      </c>
      <c r="E62" s="44">
        <v>0.12</v>
      </c>
      <c r="F62" s="44">
        <f>(0.842*D62)+(0.158*E62)</f>
        <v>0.15368000000000001</v>
      </c>
      <c r="G62" s="45">
        <f t="shared" si="6"/>
        <v>6.0869445111917501E-4</v>
      </c>
      <c r="H62" s="45">
        <f t="shared" si="6"/>
        <v>3.3655986084177601E-4</v>
      </c>
      <c r="I62" s="46">
        <v>95</v>
      </c>
      <c r="J62" s="69">
        <f>F62*I62</f>
        <v>14.599600000000001</v>
      </c>
      <c r="L62" s="10"/>
      <c r="M62" s="10"/>
      <c r="N62" s="10"/>
    </row>
    <row r="63" spans="1:17" x14ac:dyDescent="0.25">
      <c r="A63" s="53" t="s">
        <v>9</v>
      </c>
      <c r="B63" s="70">
        <v>1.2</v>
      </c>
      <c r="C63" s="70">
        <v>1.25</v>
      </c>
      <c r="D63" s="70">
        <v>7.0000000000000007E-2</v>
      </c>
      <c r="E63" s="70">
        <v>7.0000000000000007E-2</v>
      </c>
      <c r="F63" s="44">
        <f>(0.842*D63)+(0.158*E63)</f>
        <v>7.0000000000000007E-2</v>
      </c>
      <c r="G63" s="45">
        <f t="shared" si="6"/>
        <v>2.5414263168568801E-2</v>
      </c>
      <c r="H63" s="45">
        <f t="shared" si="6"/>
        <v>6.4630730381549498E-2</v>
      </c>
      <c r="I63" s="68">
        <v>4085</v>
      </c>
      <c r="J63" s="69">
        <f>F63*I63</f>
        <v>285.95000000000005</v>
      </c>
      <c r="L63" s="10"/>
      <c r="M63" s="10"/>
      <c r="N63" s="10"/>
    </row>
    <row r="64" spans="1:17" ht="15.75" thickBot="1" x14ac:dyDescent="0.3">
      <c r="A64" s="55"/>
      <c r="B64" s="56"/>
      <c r="C64" s="56"/>
      <c r="D64" s="56"/>
      <c r="E64" s="56"/>
      <c r="F64" s="56"/>
      <c r="G64" s="56"/>
      <c r="H64" s="56"/>
      <c r="I64" s="57"/>
      <c r="J64" s="58">
        <f>SUM(J58:J63)</f>
        <v>4932.3522199999989</v>
      </c>
      <c r="L64" s="10"/>
      <c r="M64" s="10"/>
      <c r="N64" s="10"/>
    </row>
    <row r="65" spans="1:21" ht="15.75" thickBot="1" x14ac:dyDescent="0.3">
      <c r="L65" s="10"/>
      <c r="M65" s="10"/>
      <c r="N65" s="10"/>
    </row>
    <row r="66" spans="1:21" ht="16.5" thickBot="1" x14ac:dyDescent="0.3">
      <c r="A66" s="99" t="s">
        <v>28</v>
      </c>
      <c r="B66" s="100"/>
      <c r="C66" s="100"/>
      <c r="D66" s="100"/>
      <c r="E66" s="32"/>
      <c r="F66" s="32"/>
      <c r="G66" s="32"/>
      <c r="H66" s="32"/>
      <c r="I66" s="36"/>
      <c r="J66" s="32"/>
      <c r="K66" s="33"/>
      <c r="L66" s="33"/>
      <c r="M66" s="33"/>
      <c r="N66" s="33"/>
    </row>
    <row r="67" spans="1:21" ht="21" customHeight="1" x14ac:dyDescent="0.25">
      <c r="A67" s="127"/>
      <c r="B67" s="128" t="s">
        <v>17</v>
      </c>
      <c r="C67" s="128"/>
      <c r="D67" s="128" t="s">
        <v>54</v>
      </c>
      <c r="E67" s="128"/>
      <c r="F67" s="129" t="s">
        <v>81</v>
      </c>
      <c r="G67" s="128" t="s">
        <v>52</v>
      </c>
      <c r="H67" s="128"/>
      <c r="I67" s="128" t="s">
        <v>66</v>
      </c>
      <c r="J67" s="130" t="s">
        <v>68</v>
      </c>
      <c r="L67" s="10"/>
      <c r="M67" s="10"/>
      <c r="N67" s="10"/>
    </row>
    <row r="68" spans="1:21" ht="12.6" customHeight="1" x14ac:dyDescent="0.25">
      <c r="A68" s="101"/>
      <c r="B68" s="97"/>
      <c r="C68" s="97"/>
      <c r="D68" s="97"/>
      <c r="E68" s="97"/>
      <c r="F68" s="112"/>
      <c r="G68" s="97"/>
      <c r="H68" s="97"/>
      <c r="I68" s="97"/>
      <c r="J68" s="96"/>
      <c r="L68" s="10"/>
      <c r="M68" s="10"/>
      <c r="N68" s="10"/>
    </row>
    <row r="69" spans="1:21" ht="33" customHeight="1" thickBot="1" x14ac:dyDescent="0.3">
      <c r="A69" s="101"/>
      <c r="B69" s="97"/>
      <c r="C69" s="97"/>
      <c r="D69" s="97"/>
      <c r="E69" s="97"/>
      <c r="F69" s="112"/>
      <c r="G69" s="97"/>
      <c r="H69" s="97"/>
      <c r="I69" s="97"/>
      <c r="J69" s="96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x14ac:dyDescent="0.25">
      <c r="A70" s="51" t="s">
        <v>0</v>
      </c>
      <c r="B70" s="43" t="s">
        <v>1</v>
      </c>
      <c r="C70" s="43" t="s">
        <v>2</v>
      </c>
      <c r="D70" s="43" t="s">
        <v>1</v>
      </c>
      <c r="E70" s="43" t="s">
        <v>2</v>
      </c>
      <c r="F70" s="113"/>
      <c r="G70" s="43" t="s">
        <v>1</v>
      </c>
      <c r="H70" s="43" t="s">
        <v>2</v>
      </c>
      <c r="I70" s="42"/>
      <c r="J70" s="52"/>
      <c r="K70" s="10"/>
      <c r="L70" s="23" t="s">
        <v>30</v>
      </c>
      <c r="M70" s="24"/>
      <c r="N70" s="74"/>
      <c r="O70" s="4" t="s">
        <v>82</v>
      </c>
      <c r="P70" s="5"/>
      <c r="Q70" s="5"/>
      <c r="R70" s="5"/>
      <c r="S70" s="5"/>
      <c r="T70" s="5"/>
      <c r="U70" s="6"/>
    </row>
    <row r="71" spans="1:21" x14ac:dyDescent="0.25">
      <c r="A71" s="53" t="s">
        <v>5</v>
      </c>
      <c r="B71" s="70">
        <v>1.72</v>
      </c>
      <c r="C71" s="70">
        <v>3.1</v>
      </c>
      <c r="D71" s="70">
        <v>0.11</v>
      </c>
      <c r="E71" s="70">
        <v>0.25</v>
      </c>
      <c r="F71" s="44">
        <f>(0.842*D71)+(0.158*E71)</f>
        <v>0.13211999999999999</v>
      </c>
      <c r="G71" s="45">
        <f t="shared" ref="G71:H76" si="7">G58</f>
        <v>2.9763653716087E-2</v>
      </c>
      <c r="H71" s="45">
        <f t="shared" si="7"/>
        <v>1.6759607424553499E-2</v>
      </c>
      <c r="I71" s="68">
        <v>3686</v>
      </c>
      <c r="J71" s="69">
        <f>F71*I71</f>
        <v>486.99431999999996</v>
      </c>
      <c r="K71" s="10"/>
      <c r="L71" s="25" t="s">
        <v>5</v>
      </c>
      <c r="M71" s="124">
        <f>J58+J71</f>
        <v>890.53759999999988</v>
      </c>
      <c r="N71" s="74"/>
      <c r="O71" s="25" t="s">
        <v>5</v>
      </c>
      <c r="P71" s="10"/>
      <c r="Q71" s="10"/>
      <c r="R71" s="12">
        <f>M42+M71</f>
        <v>1257.2864</v>
      </c>
      <c r="S71" s="10"/>
      <c r="T71" s="10"/>
      <c r="U71" s="15"/>
    </row>
    <row r="72" spans="1:21" x14ac:dyDescent="0.25">
      <c r="A72" s="53" t="s">
        <v>6</v>
      </c>
      <c r="B72" s="70">
        <v>1.51</v>
      </c>
      <c r="C72" s="70">
        <v>1.49</v>
      </c>
      <c r="D72" s="70">
        <v>0.08</v>
      </c>
      <c r="E72" s="70">
        <v>0.09</v>
      </c>
      <c r="F72" s="44">
        <f>(0.842*D72)+(0.158*E72)</f>
        <v>8.158E-2</v>
      </c>
      <c r="G72" s="45">
        <f t="shared" si="7"/>
        <v>1.2787662816608999E-2</v>
      </c>
      <c r="H72" s="45">
        <f t="shared" si="7"/>
        <v>1.55784847726608E-2</v>
      </c>
      <c r="I72" s="68">
        <v>2077</v>
      </c>
      <c r="J72" s="69">
        <f>F72*I72</f>
        <v>169.44166000000001</v>
      </c>
      <c r="K72" s="10"/>
      <c r="L72" s="25" t="s">
        <v>6</v>
      </c>
      <c r="M72" s="124">
        <f>J59+J72</f>
        <v>322.47502000000003</v>
      </c>
      <c r="N72" s="74"/>
      <c r="O72" s="25" t="s">
        <v>6</v>
      </c>
      <c r="P72" s="10"/>
      <c r="Q72" s="10"/>
      <c r="R72" s="12">
        <f>M43+M72</f>
        <v>455.22232000000002</v>
      </c>
      <c r="S72" s="10"/>
      <c r="T72" s="10"/>
      <c r="U72" s="15"/>
    </row>
    <row r="73" spans="1:21" x14ac:dyDescent="0.25">
      <c r="A73" s="53" t="s">
        <v>10</v>
      </c>
      <c r="B73" s="70">
        <v>6.74</v>
      </c>
      <c r="C73" s="70">
        <v>12.41</v>
      </c>
      <c r="D73" s="70">
        <v>0.41</v>
      </c>
      <c r="E73" s="70">
        <v>0.54</v>
      </c>
      <c r="F73" s="44">
        <f>(0.842*D73)+(0.158*E73)</f>
        <v>0.43053999999999998</v>
      </c>
      <c r="G73" s="45">
        <f t="shared" si="7"/>
        <v>7.7837319776146802E-2</v>
      </c>
      <c r="H73" s="45">
        <f t="shared" si="7"/>
        <v>6.4630730381549498E-2</v>
      </c>
      <c r="I73" s="68">
        <v>18386</v>
      </c>
      <c r="J73" s="69">
        <f>F73*I73</f>
        <v>7915.9084399999992</v>
      </c>
      <c r="K73" s="10"/>
      <c r="L73" s="25" t="s">
        <v>10</v>
      </c>
      <c r="M73" s="124">
        <f>J60+J73</f>
        <v>11989.87832</v>
      </c>
      <c r="N73" s="74"/>
      <c r="O73" s="25" t="s">
        <v>10</v>
      </c>
      <c r="P73" s="10"/>
      <c r="Q73" s="10"/>
      <c r="R73" s="12">
        <f>M44+M73</f>
        <v>12831.11312</v>
      </c>
      <c r="S73" s="10"/>
      <c r="T73" s="10"/>
      <c r="U73" s="15"/>
    </row>
    <row r="74" spans="1:21" x14ac:dyDescent="0.25">
      <c r="A74" s="53" t="s">
        <v>11</v>
      </c>
      <c r="B74" s="44" t="s">
        <v>7</v>
      </c>
      <c r="C74" s="44">
        <v>1.1299999999999999</v>
      </c>
      <c r="D74" s="44" t="s">
        <v>7</v>
      </c>
      <c r="E74" s="44">
        <v>0.02</v>
      </c>
      <c r="F74" s="44">
        <f>(0.842*0)+(0.158*E74)</f>
        <v>3.16E-3</v>
      </c>
      <c r="G74" s="45">
        <f t="shared" si="7"/>
        <v>1.83044303171544E-5</v>
      </c>
      <c r="H74" s="45">
        <f t="shared" si="7"/>
        <v>3.2451662713967599E-3</v>
      </c>
      <c r="I74" s="46">
        <v>265</v>
      </c>
      <c r="J74" s="69">
        <f>F74*I74</f>
        <v>0.83740000000000003</v>
      </c>
      <c r="K74" s="10"/>
      <c r="L74" s="25" t="s">
        <v>11</v>
      </c>
      <c r="M74" s="124">
        <f>J61+J74</f>
        <v>2.0935000000000001</v>
      </c>
      <c r="N74" s="74"/>
      <c r="O74" s="25" t="s">
        <v>11</v>
      </c>
      <c r="P74" s="10"/>
      <c r="Q74" s="10"/>
      <c r="R74" s="12">
        <f>M45+M74</f>
        <v>3.8235999999999999</v>
      </c>
      <c r="S74" s="10"/>
      <c r="T74" s="10"/>
      <c r="U74" s="15"/>
    </row>
    <row r="75" spans="1:21" x14ac:dyDescent="0.25">
      <c r="A75" s="53" t="s">
        <v>8</v>
      </c>
      <c r="B75" s="44">
        <v>1.95</v>
      </c>
      <c r="C75" s="44">
        <v>1.66</v>
      </c>
      <c r="D75" s="44">
        <v>0.13</v>
      </c>
      <c r="E75" s="44">
        <v>0.1</v>
      </c>
      <c r="F75" s="44">
        <f>(0.842*D75)+(0.158*E75)</f>
        <v>0.12526000000000001</v>
      </c>
      <c r="G75" s="45">
        <f t="shared" si="7"/>
        <v>6.0869445111917501E-4</v>
      </c>
      <c r="H75" s="45">
        <f t="shared" si="7"/>
        <v>3.3655986084177601E-4</v>
      </c>
      <c r="I75" s="46">
        <v>95</v>
      </c>
      <c r="J75" s="69">
        <f>F75*I75</f>
        <v>11.899700000000001</v>
      </c>
      <c r="K75" s="10"/>
      <c r="L75" s="25" t="s">
        <v>8</v>
      </c>
      <c r="M75" s="124">
        <f>J62+J75</f>
        <v>26.499300000000002</v>
      </c>
      <c r="N75" s="74"/>
      <c r="O75" s="25" t="s">
        <v>8</v>
      </c>
      <c r="P75" s="10"/>
      <c r="Q75" s="10"/>
      <c r="R75" s="12">
        <f>M46+M75</f>
        <v>48.256619999999998</v>
      </c>
      <c r="S75" s="10"/>
      <c r="T75" s="10"/>
      <c r="U75" s="15"/>
    </row>
    <row r="76" spans="1:21" x14ac:dyDescent="0.25">
      <c r="A76" s="53" t="s">
        <v>9</v>
      </c>
      <c r="B76" s="44">
        <v>1.43</v>
      </c>
      <c r="C76" s="44">
        <v>1.78</v>
      </c>
      <c r="D76" s="44">
        <v>7.0000000000000007E-2</v>
      </c>
      <c r="E76" s="44">
        <v>0.13</v>
      </c>
      <c r="F76" s="44">
        <f>(0.842*D76)+(0.158*E76)</f>
        <v>7.9480000000000009E-2</v>
      </c>
      <c r="G76" s="45">
        <f t="shared" si="7"/>
        <v>2.5414263168568801E-2</v>
      </c>
      <c r="H76" s="45">
        <f t="shared" si="7"/>
        <v>6.4630730381549498E-2</v>
      </c>
      <c r="I76" s="46">
        <v>4085</v>
      </c>
      <c r="J76" s="69">
        <f>F76*I76</f>
        <v>324.67580000000004</v>
      </c>
      <c r="K76" s="10"/>
      <c r="L76" s="25" t="s">
        <v>9</v>
      </c>
      <c r="M76" s="124">
        <f>J63+J76</f>
        <v>610.62580000000003</v>
      </c>
      <c r="N76" s="74"/>
      <c r="O76" s="25" t="s">
        <v>9</v>
      </c>
      <c r="P76" s="10"/>
      <c r="Q76" s="10"/>
      <c r="R76" s="12">
        <f>M47+M76</f>
        <v>888.21016000000009</v>
      </c>
      <c r="S76" s="10"/>
      <c r="T76" s="10"/>
      <c r="U76" s="15"/>
    </row>
    <row r="77" spans="1:21" ht="15.75" thickBot="1" x14ac:dyDescent="0.3">
      <c r="A77" s="55"/>
      <c r="B77" s="56"/>
      <c r="C77" s="56"/>
      <c r="D77" s="56"/>
      <c r="E77" s="56"/>
      <c r="F77" s="56"/>
      <c r="G77" s="56"/>
      <c r="H77" s="56"/>
      <c r="I77" s="57"/>
      <c r="J77" s="58">
        <f>SUM(J71:J76)</f>
        <v>8909.7573200000006</v>
      </c>
      <c r="K77" s="10"/>
      <c r="L77" s="27" t="s">
        <v>20</v>
      </c>
      <c r="M77" s="125">
        <f>J64+J77</f>
        <v>13842.109539999999</v>
      </c>
      <c r="N77" s="74"/>
      <c r="O77" s="27" t="s">
        <v>20</v>
      </c>
      <c r="P77" s="19"/>
      <c r="Q77" s="19"/>
      <c r="R77" s="122">
        <f>M48+M77</f>
        <v>15483.912219999998</v>
      </c>
      <c r="S77" s="19"/>
      <c r="T77" s="19"/>
      <c r="U77" s="20"/>
    </row>
    <row r="78" spans="1:21" ht="15.75" thickBot="1" x14ac:dyDescent="0.3">
      <c r="K78" s="10"/>
      <c r="L78" s="10"/>
      <c r="M78" s="10"/>
      <c r="N78" s="10"/>
    </row>
    <row r="79" spans="1:21" x14ac:dyDescent="0.25">
      <c r="A79" s="4"/>
      <c r="B79" s="5" t="s">
        <v>21</v>
      </c>
      <c r="C79" s="5" t="s">
        <v>22</v>
      </c>
      <c r="D79" s="6" t="s">
        <v>23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x14ac:dyDescent="0.25">
      <c r="A80" s="7" t="s">
        <v>24</v>
      </c>
      <c r="B80" s="8">
        <f>1676*1000000000</f>
        <v>1676000000000</v>
      </c>
      <c r="C80" s="11">
        <v>5.1999999999999998E-2</v>
      </c>
      <c r="D80" s="30">
        <f t="shared" ref="D80" si="8">B80*C80</f>
        <v>87152000000</v>
      </c>
      <c r="O80" s="10"/>
      <c r="P80" s="10"/>
      <c r="Q80" s="92">
        <f>(M73+M44)/(M48+M77)</f>
        <v>0.82867384790689558</v>
      </c>
    </row>
    <row r="81" spans="1:17" x14ac:dyDescent="0.25">
      <c r="A81" s="7"/>
      <c r="B81" s="8"/>
      <c r="C81" s="11"/>
      <c r="D81" s="30"/>
      <c r="O81" s="10"/>
      <c r="P81" s="75"/>
      <c r="Q81" s="1"/>
    </row>
    <row r="82" spans="1:17" x14ac:dyDescent="0.25">
      <c r="A82" s="7" t="s">
        <v>25</v>
      </c>
      <c r="B82" s="10"/>
      <c r="C82" s="12">
        <f>D82</f>
        <v>3790131369.1136732</v>
      </c>
      <c r="D82" s="13">
        <f>P25*1000000</f>
        <v>3790131369.1136732</v>
      </c>
      <c r="O82" s="10"/>
      <c r="P82" s="10"/>
      <c r="Q82" s="1"/>
    </row>
    <row r="83" spans="1:17" x14ac:dyDescent="0.25">
      <c r="A83" s="7" t="s">
        <v>69</v>
      </c>
      <c r="B83" s="10"/>
      <c r="C83" s="14">
        <f>C82/B80</f>
        <v>2.2614148980391845E-3</v>
      </c>
      <c r="D83" s="31">
        <f>D82/D80</f>
        <v>4.3488748039215083E-2</v>
      </c>
      <c r="E83" s="92"/>
      <c r="F83" s="92"/>
      <c r="G83" s="92"/>
    </row>
    <row r="84" spans="1:17" x14ac:dyDescent="0.25">
      <c r="A84" s="7"/>
      <c r="B84" s="10"/>
      <c r="C84" s="10"/>
      <c r="D84" s="31"/>
    </row>
    <row r="85" spans="1:17" x14ac:dyDescent="0.25">
      <c r="A85" s="7" t="s">
        <v>72</v>
      </c>
      <c r="B85" s="12">
        <f>M48*1000000</f>
        <v>1641802679.9999998</v>
      </c>
      <c r="C85" s="10"/>
      <c r="D85" s="15"/>
    </row>
    <row r="86" spans="1:17" x14ac:dyDescent="0.25">
      <c r="A86" s="7" t="s">
        <v>71</v>
      </c>
      <c r="B86" s="14">
        <f>B85/B80</f>
        <v>9.7959587112171815E-4</v>
      </c>
      <c r="C86" s="10"/>
      <c r="D86" s="15"/>
    </row>
    <row r="87" spans="1:17" x14ac:dyDescent="0.25">
      <c r="A87" s="7"/>
      <c r="B87" s="10"/>
      <c r="C87" s="10"/>
      <c r="D87" s="15"/>
    </row>
    <row r="88" spans="1:17" x14ac:dyDescent="0.25">
      <c r="A88" s="7" t="s">
        <v>73</v>
      </c>
      <c r="B88" s="9">
        <f>M77*1000000</f>
        <v>13842109540</v>
      </c>
      <c r="C88" s="10"/>
      <c r="D88" s="15"/>
    </row>
    <row r="89" spans="1:17" x14ac:dyDescent="0.25">
      <c r="A89" s="7" t="s">
        <v>70</v>
      </c>
      <c r="B89" s="14">
        <f>B88/B80</f>
        <v>8.2590152386634846E-3</v>
      </c>
      <c r="C89" s="10"/>
      <c r="D89" s="15"/>
    </row>
    <row r="90" spans="1:17" x14ac:dyDescent="0.25">
      <c r="A90" s="7"/>
      <c r="B90" s="10"/>
      <c r="C90" s="10"/>
      <c r="D90" s="15"/>
    </row>
    <row r="91" spans="1:17" x14ac:dyDescent="0.25">
      <c r="A91" s="7" t="s">
        <v>74</v>
      </c>
      <c r="B91" s="16">
        <f>B85+B88</f>
        <v>15483912220</v>
      </c>
      <c r="C91" s="10"/>
      <c r="D91" s="15"/>
    </row>
    <row r="92" spans="1:17" ht="15.75" thickBot="1" x14ac:dyDescent="0.3">
      <c r="A92" s="17" t="s">
        <v>75</v>
      </c>
      <c r="B92" s="18">
        <f>B91/B80</f>
        <v>9.2386111097852025E-3</v>
      </c>
      <c r="C92" s="19"/>
      <c r="D92" s="20"/>
    </row>
  </sheetData>
  <mergeCells count="48">
    <mergeCell ref="F54:F57"/>
    <mergeCell ref="F67:F70"/>
    <mergeCell ref="J28:J31"/>
    <mergeCell ref="A1:E1"/>
    <mergeCell ref="A2:A4"/>
    <mergeCell ref="B2:C4"/>
    <mergeCell ref="A40:D40"/>
    <mergeCell ref="A41:A43"/>
    <mergeCell ref="B41:C43"/>
    <mergeCell ref="A28:A30"/>
    <mergeCell ref="B28:C30"/>
    <mergeCell ref="F28:F31"/>
    <mergeCell ref="F41:F44"/>
    <mergeCell ref="M2:M4"/>
    <mergeCell ref="D15:E17"/>
    <mergeCell ref="H15:H17"/>
    <mergeCell ref="I15:J17"/>
    <mergeCell ref="K15:L17"/>
    <mergeCell ref="M15:M17"/>
    <mergeCell ref="F15:G17"/>
    <mergeCell ref="D2:E4"/>
    <mergeCell ref="H2:H4"/>
    <mergeCell ref="I2:J4"/>
    <mergeCell ref="K2:L4"/>
    <mergeCell ref="F2:G4"/>
    <mergeCell ref="A14:D14"/>
    <mergeCell ref="A15:A17"/>
    <mergeCell ref="B15:C17"/>
    <mergeCell ref="D41:E43"/>
    <mergeCell ref="G41:H43"/>
    <mergeCell ref="I41:I43"/>
    <mergeCell ref="J41:J43"/>
    <mergeCell ref="D28:E30"/>
    <mergeCell ref="G28:H30"/>
    <mergeCell ref="I28:I30"/>
    <mergeCell ref="J54:J56"/>
    <mergeCell ref="D67:E69"/>
    <mergeCell ref="G67:H69"/>
    <mergeCell ref="I67:I69"/>
    <mergeCell ref="J67:J69"/>
    <mergeCell ref="A66:D66"/>
    <mergeCell ref="A67:A69"/>
    <mergeCell ref="B67:C69"/>
    <mergeCell ref="A54:A56"/>
    <mergeCell ref="B54:C56"/>
    <mergeCell ref="D54:E56"/>
    <mergeCell ref="G54:H56"/>
    <mergeCell ref="I54:I56"/>
  </mergeCells>
  <pageMargins left="0.7" right="0.7" top="0.75" bottom="0.75" header="0.3" footer="0.3"/>
  <pageSetup orientation="portrait" horizontalDpi="0" verticalDpi="0" r:id="rId1"/>
  <ignoredErrors>
    <ignoredError sqref="M9 M22 J9 J22 F3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8534-C37F-4AD8-B7D4-F7944E474745}">
  <dimension ref="A1:Q33"/>
  <sheetViews>
    <sheetView topLeftCell="D1" workbookViewId="0">
      <selection activeCell="D32" sqref="D32"/>
    </sheetView>
  </sheetViews>
  <sheetFormatPr defaultRowHeight="15" x14ac:dyDescent="0.25"/>
  <cols>
    <col min="1" max="1" width="57.140625" customWidth="1"/>
    <col min="2" max="2" width="21.5703125" customWidth="1"/>
    <col min="3" max="3" width="25.42578125" customWidth="1"/>
    <col min="4" max="4" width="18.140625" customWidth="1"/>
    <col min="5" max="7" width="17.28515625" customWidth="1"/>
    <col min="8" max="8" width="17.140625" customWidth="1"/>
    <col min="9" max="9" width="10.85546875" customWidth="1"/>
    <col min="10" max="10" width="13.140625" customWidth="1"/>
    <col min="11" max="11" width="9.42578125" customWidth="1"/>
    <col min="12" max="12" width="13.5703125" customWidth="1"/>
    <col min="13" max="13" width="22.85546875" customWidth="1"/>
    <col min="15" max="15" width="22" customWidth="1"/>
    <col min="16" max="16" width="13.5703125" customWidth="1"/>
    <col min="17" max="17" width="18.85546875" customWidth="1"/>
  </cols>
  <sheetData>
    <row r="1" spans="1:15" ht="15.75" x14ac:dyDescent="0.25">
      <c r="A1" s="99" t="s">
        <v>53</v>
      </c>
      <c r="B1" s="100"/>
      <c r="C1" s="100"/>
      <c r="D1" s="100"/>
      <c r="E1" s="100"/>
      <c r="F1" s="40"/>
      <c r="G1" s="40"/>
      <c r="H1" s="36"/>
      <c r="I1" s="32"/>
      <c r="J1" s="32"/>
      <c r="K1" s="32"/>
      <c r="L1" s="32"/>
      <c r="M1" s="34"/>
    </row>
    <row r="2" spans="1:15" ht="20.45" customHeight="1" x14ac:dyDescent="0.25">
      <c r="A2" s="101"/>
      <c r="B2" s="97" t="s">
        <v>17</v>
      </c>
      <c r="C2" s="97"/>
      <c r="D2" s="105" t="s">
        <v>54</v>
      </c>
      <c r="E2" s="106"/>
      <c r="F2" s="97" t="s">
        <v>52</v>
      </c>
      <c r="G2" s="97"/>
      <c r="H2" s="111" t="s">
        <v>59</v>
      </c>
      <c r="I2" s="105" t="s">
        <v>65</v>
      </c>
      <c r="J2" s="106"/>
      <c r="K2" s="114" t="s">
        <v>64</v>
      </c>
      <c r="L2" s="115"/>
      <c r="M2" s="102" t="s">
        <v>63</v>
      </c>
    </row>
    <row r="3" spans="1:15" ht="15.6" customHeight="1" x14ac:dyDescent="0.25">
      <c r="A3" s="101"/>
      <c r="B3" s="97"/>
      <c r="C3" s="97"/>
      <c r="D3" s="107"/>
      <c r="E3" s="108"/>
      <c r="F3" s="97"/>
      <c r="G3" s="97"/>
      <c r="H3" s="112"/>
      <c r="I3" s="107"/>
      <c r="J3" s="108"/>
      <c r="K3" s="116"/>
      <c r="L3" s="117"/>
      <c r="M3" s="103"/>
    </row>
    <row r="4" spans="1:15" ht="2.4500000000000002" customHeight="1" x14ac:dyDescent="0.25">
      <c r="A4" s="101"/>
      <c r="B4" s="97"/>
      <c r="C4" s="97"/>
      <c r="D4" s="109"/>
      <c r="E4" s="110"/>
      <c r="F4" s="97"/>
      <c r="G4" s="97"/>
      <c r="H4" s="113"/>
      <c r="I4" s="109"/>
      <c r="J4" s="110"/>
      <c r="K4" s="118"/>
      <c r="L4" s="119"/>
      <c r="M4" s="104"/>
    </row>
    <row r="5" spans="1:15" x14ac:dyDescent="0.25">
      <c r="A5" s="51" t="s">
        <v>0</v>
      </c>
      <c r="B5" s="43" t="s">
        <v>1</v>
      </c>
      <c r="C5" s="43" t="s">
        <v>2</v>
      </c>
      <c r="D5" s="43" t="s">
        <v>1</v>
      </c>
      <c r="E5" s="43" t="s">
        <v>2</v>
      </c>
      <c r="F5" s="43" t="s">
        <v>1</v>
      </c>
      <c r="G5" s="43" t="s">
        <v>2</v>
      </c>
      <c r="H5" s="42"/>
      <c r="I5" s="41" t="s">
        <v>3</v>
      </c>
      <c r="J5" s="41" t="s">
        <v>4</v>
      </c>
      <c r="K5" s="50" t="s">
        <v>3</v>
      </c>
      <c r="L5" s="50" t="s">
        <v>4</v>
      </c>
      <c r="M5" s="52"/>
    </row>
    <row r="6" spans="1:15" x14ac:dyDescent="0.25">
      <c r="A6" s="53" t="s">
        <v>5</v>
      </c>
      <c r="B6" s="44">
        <v>1.29</v>
      </c>
      <c r="C6" s="44">
        <v>1.8</v>
      </c>
      <c r="D6" s="44">
        <v>0.1</v>
      </c>
      <c r="E6" s="44">
        <v>0.16</v>
      </c>
      <c r="F6" s="45">
        <f>'GBD prevalence'!N8</f>
        <v>2.9763653716087E-2</v>
      </c>
      <c r="G6" s="45">
        <f>'GBD prevalence'!N9</f>
        <v>1.6759607424553499E-2</v>
      </c>
      <c r="H6" s="46">
        <v>798</v>
      </c>
      <c r="I6" s="47">
        <f>((F6/(F6+G6))*H6)</f>
        <v>510.5273165102638</v>
      </c>
      <c r="J6" s="47">
        <f>((G6/(F6+G6))*H6)</f>
        <v>287.47268348973626</v>
      </c>
      <c r="K6" s="48">
        <f t="shared" ref="K6:L8" si="0">D6*I6</f>
        <v>51.052731651026384</v>
      </c>
      <c r="L6" s="48">
        <f t="shared" si="0"/>
        <v>45.995629358357803</v>
      </c>
      <c r="M6" s="54">
        <f>K6+L6</f>
        <v>97.048361009384195</v>
      </c>
      <c r="O6" s="1"/>
    </row>
    <row r="7" spans="1:15" x14ac:dyDescent="0.25">
      <c r="A7" s="53" t="s">
        <v>6</v>
      </c>
      <c r="B7" s="44">
        <v>1.23</v>
      </c>
      <c r="C7" s="44">
        <v>1.1499999999999999</v>
      </c>
      <c r="D7" s="44">
        <v>0.08</v>
      </c>
      <c r="E7" s="44">
        <v>0.04</v>
      </c>
      <c r="F7" s="45">
        <f>'GBD prevalence'!N10</f>
        <v>1.2787662816608999E-2</v>
      </c>
      <c r="G7" s="45">
        <f>'GBD prevalence'!N11</f>
        <v>1.55784847726608E-2</v>
      </c>
      <c r="H7" s="46">
        <v>1118</v>
      </c>
      <c r="I7" s="47">
        <f>((F7/(F7+G7))*H7)</f>
        <v>504.00241992595807</v>
      </c>
      <c r="J7" s="47">
        <f>((G7/(F7+G7))*H7)</f>
        <v>613.99758007404182</v>
      </c>
      <c r="K7" s="48">
        <f t="shared" si="0"/>
        <v>40.320193594076649</v>
      </c>
      <c r="L7" s="48">
        <f t="shared" si="0"/>
        <v>24.559903202961674</v>
      </c>
      <c r="M7" s="54">
        <f>K7+L7</f>
        <v>64.88009679703832</v>
      </c>
    </row>
    <row r="8" spans="1:15" x14ac:dyDescent="0.25">
      <c r="A8" s="53" t="s">
        <v>10</v>
      </c>
      <c r="B8" s="44">
        <v>2.4</v>
      </c>
      <c r="C8" s="44">
        <v>3.92</v>
      </c>
      <c r="D8" s="44">
        <v>0.22</v>
      </c>
      <c r="E8" s="44">
        <v>0.23</v>
      </c>
      <c r="F8" s="45">
        <f>'GBD prevalence'!N12</f>
        <v>7.7837319776146802E-2</v>
      </c>
      <c r="G8" s="45">
        <f>'GBD prevalence'!N13</f>
        <v>6.4630730381549498E-2</v>
      </c>
      <c r="H8" s="72">
        <v>22320</v>
      </c>
      <c r="I8" s="47">
        <f>((F8/(F8+G8))*H8)</f>
        <v>12194.516423019521</v>
      </c>
      <c r="J8" s="47">
        <f>((G8/(F8+G8))*H8)</f>
        <v>10125.483576980476</v>
      </c>
      <c r="K8" s="48">
        <f t="shared" si="0"/>
        <v>2682.7936130642947</v>
      </c>
      <c r="L8" s="48">
        <f t="shared" si="0"/>
        <v>2328.8612227055096</v>
      </c>
      <c r="M8" s="54">
        <f>K8+L8</f>
        <v>5011.6548357698048</v>
      </c>
    </row>
    <row r="9" spans="1:15" x14ac:dyDescent="0.25">
      <c r="A9" s="53" t="s">
        <v>11</v>
      </c>
      <c r="B9" s="44" t="s">
        <v>7</v>
      </c>
      <c r="C9" s="44">
        <v>1.08</v>
      </c>
      <c r="D9" s="44" t="s">
        <v>7</v>
      </c>
      <c r="E9" s="44">
        <v>0.03</v>
      </c>
      <c r="F9" s="45">
        <f>'GBD prevalence'!N2</f>
        <v>1.83044303171544E-5</v>
      </c>
      <c r="G9" s="45">
        <f>'GBD prevalence'!N3</f>
        <v>3.2451662713967599E-3</v>
      </c>
      <c r="H9" s="46">
        <v>43</v>
      </c>
      <c r="I9" s="47">
        <v>0</v>
      </c>
      <c r="J9" s="47">
        <f>H9</f>
        <v>43</v>
      </c>
      <c r="K9" s="49">
        <v>0</v>
      </c>
      <c r="L9" s="48">
        <f>E9*J9</f>
        <v>1.29</v>
      </c>
      <c r="M9" s="54">
        <f>L9</f>
        <v>1.29</v>
      </c>
    </row>
    <row r="10" spans="1:15" x14ac:dyDescent="0.25">
      <c r="A10" s="53" t="s">
        <v>8</v>
      </c>
      <c r="B10" s="44">
        <v>1.51</v>
      </c>
      <c r="C10" s="44">
        <v>1.45</v>
      </c>
      <c r="D10" s="44">
        <v>0.16</v>
      </c>
      <c r="E10" s="44">
        <v>0.12</v>
      </c>
      <c r="F10" s="45">
        <f>'GBD prevalence'!N4</f>
        <v>6.0869445111917501E-4</v>
      </c>
      <c r="G10" s="45">
        <f>'GBD prevalence'!N5</f>
        <v>3.3655986084177601E-4</v>
      </c>
      <c r="H10" s="46">
        <v>45</v>
      </c>
      <c r="I10" s="47">
        <f>((F10/(F10+G10))*H10)</f>
        <v>28.977651785093812</v>
      </c>
      <c r="J10" s="47">
        <f>((G10/(F10+G10))*H10)</f>
        <v>16.022348214906188</v>
      </c>
      <c r="K10" s="48">
        <f>D10*I10</f>
        <v>4.6364242856150097</v>
      </c>
      <c r="L10" s="48">
        <f>E10*J10</f>
        <v>1.9226817857887424</v>
      </c>
      <c r="M10" s="54">
        <f>K10+L10</f>
        <v>6.5591060714037521</v>
      </c>
    </row>
    <row r="11" spans="1:15" x14ac:dyDescent="0.25">
      <c r="A11" s="53" t="s">
        <v>9</v>
      </c>
      <c r="B11" s="44">
        <v>1.2</v>
      </c>
      <c r="C11" s="44">
        <v>1.25</v>
      </c>
      <c r="D11" s="44">
        <v>7.0000000000000007E-2</v>
      </c>
      <c r="E11" s="44">
        <v>7.0000000000000007E-2</v>
      </c>
      <c r="F11" s="45">
        <f>'GBD prevalence'!N6</f>
        <v>2.5414263168568801E-2</v>
      </c>
      <c r="G11" s="45">
        <f>'GBD prevalence'!N13</f>
        <v>6.4630730381549498E-2</v>
      </c>
      <c r="H11" s="46">
        <v>352</v>
      </c>
      <c r="I11" s="47">
        <f>((F11/(F11+G11))*H11)</f>
        <v>99.348340009120534</v>
      </c>
      <c r="J11" s="47">
        <f>((G11/(F11+G11))*H11)</f>
        <v>252.65165999087947</v>
      </c>
      <c r="K11" s="48">
        <f>D11*I11</f>
        <v>6.9543838006384382</v>
      </c>
      <c r="L11" s="48">
        <f>E11*J11</f>
        <v>17.685616199361565</v>
      </c>
      <c r="M11" s="54">
        <f>K11+L11</f>
        <v>24.640000000000004</v>
      </c>
    </row>
    <row r="12" spans="1:15" ht="23.1" customHeight="1" thickBot="1" x14ac:dyDescent="0.3">
      <c r="A12" s="55"/>
      <c r="B12" s="56"/>
      <c r="C12" s="56"/>
      <c r="D12" s="56"/>
      <c r="E12" s="56"/>
      <c r="F12" s="56"/>
      <c r="G12" s="56"/>
      <c r="H12" s="57"/>
      <c r="I12" s="56"/>
      <c r="J12" s="56"/>
      <c r="K12" s="56"/>
      <c r="L12" s="56"/>
      <c r="M12" s="58">
        <f>SUM(M6:M11)</f>
        <v>5206.0723996476318</v>
      </c>
    </row>
    <row r="13" spans="1:15" ht="15.75" thickBot="1" x14ac:dyDescent="0.3">
      <c r="A13" s="35"/>
      <c r="B13" s="35"/>
      <c r="C13" s="35"/>
      <c r="D13" s="35"/>
      <c r="E13" s="35"/>
      <c r="F13" s="35"/>
      <c r="G13" s="35"/>
      <c r="H13" s="3"/>
      <c r="I13" s="35"/>
      <c r="J13" s="35"/>
      <c r="K13" s="35"/>
      <c r="L13" s="35"/>
      <c r="M13" s="35"/>
    </row>
    <row r="14" spans="1:15" ht="15.75" x14ac:dyDescent="0.25">
      <c r="A14" s="120" t="s">
        <v>12</v>
      </c>
      <c r="B14" s="121"/>
      <c r="C14" s="121"/>
      <c r="D14" s="121"/>
      <c r="E14" s="62"/>
      <c r="F14" s="62"/>
      <c r="G14" s="62"/>
      <c r="H14" s="63"/>
      <c r="I14" s="62"/>
      <c r="J14" s="62"/>
      <c r="K14" s="62"/>
      <c r="L14" s="62"/>
      <c r="M14" s="64"/>
    </row>
    <row r="15" spans="1:15" ht="20.45" customHeight="1" x14ac:dyDescent="0.25">
      <c r="A15" s="101"/>
      <c r="B15" s="97" t="s">
        <v>17</v>
      </c>
      <c r="C15" s="97"/>
      <c r="D15" s="97" t="s">
        <v>54</v>
      </c>
      <c r="E15" s="97"/>
      <c r="F15" s="97" t="s">
        <v>52</v>
      </c>
      <c r="G15" s="97"/>
      <c r="H15" s="97" t="s">
        <v>59</v>
      </c>
      <c r="I15" s="97" t="s">
        <v>60</v>
      </c>
      <c r="J15" s="97"/>
      <c r="K15" s="98" t="s">
        <v>61</v>
      </c>
      <c r="L15" s="98"/>
      <c r="M15" s="96" t="s">
        <v>62</v>
      </c>
    </row>
    <row r="16" spans="1:15" ht="15.6" customHeight="1" x14ac:dyDescent="0.25">
      <c r="A16" s="101"/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8"/>
      <c r="M16" s="96"/>
    </row>
    <row r="17" spans="1:17" ht="2.4500000000000002" customHeight="1" thickBot="1" x14ac:dyDescent="0.3">
      <c r="A17" s="101"/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98"/>
      <c r="M17" s="96"/>
    </row>
    <row r="18" spans="1:17" x14ac:dyDescent="0.25">
      <c r="A18" s="51" t="s">
        <v>0</v>
      </c>
      <c r="B18" s="43" t="s">
        <v>1</v>
      </c>
      <c r="C18" s="43" t="s">
        <v>2</v>
      </c>
      <c r="D18" s="43" t="s">
        <v>1</v>
      </c>
      <c r="E18" s="43" t="s">
        <v>2</v>
      </c>
      <c r="F18" s="43" t="s">
        <v>1</v>
      </c>
      <c r="G18" s="43" t="s">
        <v>2</v>
      </c>
      <c r="H18" s="42"/>
      <c r="I18" s="41" t="s">
        <v>3</v>
      </c>
      <c r="J18" s="41" t="s">
        <v>4</v>
      </c>
      <c r="K18" s="50" t="s">
        <v>3</v>
      </c>
      <c r="L18" s="50" t="s">
        <v>4</v>
      </c>
      <c r="M18" s="52"/>
      <c r="O18" s="59" t="s">
        <v>55</v>
      </c>
      <c r="P18" s="60"/>
      <c r="Q18" s="61"/>
    </row>
    <row r="19" spans="1:17" x14ac:dyDescent="0.25">
      <c r="A19" s="65" t="s">
        <v>5</v>
      </c>
      <c r="B19" s="44">
        <v>1.72</v>
      </c>
      <c r="C19" s="44">
        <v>3.1</v>
      </c>
      <c r="D19" s="44">
        <v>0.11</v>
      </c>
      <c r="E19" s="44">
        <v>0.25</v>
      </c>
      <c r="F19" s="45">
        <f t="shared" ref="F19:G24" si="1">F6</f>
        <v>2.9763653716087E-2</v>
      </c>
      <c r="G19" s="45">
        <f t="shared" si="1"/>
        <v>1.6759607424553499E-2</v>
      </c>
      <c r="H19" s="46">
        <v>798</v>
      </c>
      <c r="I19" s="47">
        <f>(F19/(F19+G19))*H19</f>
        <v>510.5273165102638</v>
      </c>
      <c r="J19" s="47">
        <f>(G19/(F19+G19))*H19</f>
        <v>287.47268348973626</v>
      </c>
      <c r="K19" s="48">
        <f t="shared" ref="K19:L21" si="2">D19*I19</f>
        <v>56.158004816129015</v>
      </c>
      <c r="L19" s="48">
        <f t="shared" si="2"/>
        <v>71.868170872434064</v>
      </c>
      <c r="M19" s="54">
        <f>K19+L19</f>
        <v>128.02617568856309</v>
      </c>
      <c r="O19" s="25" t="s">
        <v>5</v>
      </c>
      <c r="P19" s="21">
        <f t="shared" ref="P19:P25" si="3">M6+M19</f>
        <v>225.07453669794728</v>
      </c>
      <c r="Q19" s="26"/>
    </row>
    <row r="20" spans="1:17" x14ac:dyDescent="0.25">
      <c r="A20" s="65" t="s">
        <v>6</v>
      </c>
      <c r="B20" s="44">
        <v>1.51</v>
      </c>
      <c r="C20" s="44">
        <v>1.49</v>
      </c>
      <c r="D20" s="44">
        <v>0.08</v>
      </c>
      <c r="E20" s="44">
        <v>0.09</v>
      </c>
      <c r="F20" s="45">
        <f t="shared" si="1"/>
        <v>1.2787662816608999E-2</v>
      </c>
      <c r="G20" s="45">
        <f t="shared" si="1"/>
        <v>1.55784847726608E-2</v>
      </c>
      <c r="H20" s="46">
        <v>1118</v>
      </c>
      <c r="I20" s="47">
        <f>(F20/(F20+G20))*H20</f>
        <v>504.00241992595807</v>
      </c>
      <c r="J20" s="47">
        <f>(G20/(F20+G20))*H20</f>
        <v>613.99758007404182</v>
      </c>
      <c r="K20" s="48">
        <f t="shared" si="2"/>
        <v>40.320193594076649</v>
      </c>
      <c r="L20" s="48">
        <f t="shared" si="2"/>
        <v>55.259782206663765</v>
      </c>
      <c r="M20" s="54">
        <f>K20+L20</f>
        <v>95.579975800740414</v>
      </c>
      <c r="O20" s="25" t="s">
        <v>6</v>
      </c>
      <c r="P20" s="21">
        <f t="shared" si="3"/>
        <v>160.46007259777872</v>
      </c>
      <c r="Q20" s="26"/>
    </row>
    <row r="21" spans="1:17" x14ac:dyDescent="0.25">
      <c r="A21" s="65" t="s">
        <v>10</v>
      </c>
      <c r="B21" s="44">
        <v>6.74</v>
      </c>
      <c r="C21" s="44">
        <v>12.41</v>
      </c>
      <c r="D21" s="44">
        <v>0.41</v>
      </c>
      <c r="E21" s="44">
        <v>0.54</v>
      </c>
      <c r="F21" s="45">
        <f t="shared" si="1"/>
        <v>7.7837319776146802E-2</v>
      </c>
      <c r="G21" s="45">
        <f t="shared" si="1"/>
        <v>6.4630730381549498E-2</v>
      </c>
      <c r="H21" s="72">
        <v>22320</v>
      </c>
      <c r="I21" s="47">
        <f>(F21/(F21+G21))*H21</f>
        <v>12194.516423019521</v>
      </c>
      <c r="J21" s="47">
        <f>(G21/(F21+G21))*H21</f>
        <v>10125.483576980476</v>
      </c>
      <c r="K21" s="48">
        <f t="shared" si="2"/>
        <v>4999.7517334380027</v>
      </c>
      <c r="L21" s="48">
        <f t="shared" si="2"/>
        <v>5467.7611315694576</v>
      </c>
      <c r="M21" s="54">
        <f>K21+L21</f>
        <v>10467.51286500746</v>
      </c>
      <c r="O21" s="25" t="s">
        <v>10</v>
      </c>
      <c r="P21" s="21">
        <f t="shared" si="3"/>
        <v>15479.167700777265</v>
      </c>
      <c r="Q21" s="26"/>
    </row>
    <row r="22" spans="1:17" x14ac:dyDescent="0.25">
      <c r="A22" s="65" t="s">
        <v>11</v>
      </c>
      <c r="B22" s="44" t="s">
        <v>7</v>
      </c>
      <c r="C22" s="44">
        <v>1.1299999999999999</v>
      </c>
      <c r="D22" s="44" t="s">
        <v>7</v>
      </c>
      <c r="E22" s="44">
        <v>0.02</v>
      </c>
      <c r="F22" s="45">
        <f t="shared" si="1"/>
        <v>1.83044303171544E-5</v>
      </c>
      <c r="G22" s="45">
        <f t="shared" si="1"/>
        <v>3.2451662713967599E-3</v>
      </c>
      <c r="H22" s="46">
        <v>43</v>
      </c>
      <c r="I22" s="47">
        <v>0</v>
      </c>
      <c r="J22" s="47">
        <f>H22</f>
        <v>43</v>
      </c>
      <c r="K22" s="49">
        <v>0</v>
      </c>
      <c r="L22" s="48">
        <f>E22*J22</f>
        <v>0.86</v>
      </c>
      <c r="M22" s="54">
        <f>L22</f>
        <v>0.86</v>
      </c>
      <c r="O22" s="25" t="s">
        <v>11</v>
      </c>
      <c r="P22" s="21">
        <f t="shared" si="3"/>
        <v>2.15</v>
      </c>
      <c r="Q22" s="26"/>
    </row>
    <row r="23" spans="1:17" x14ac:dyDescent="0.25">
      <c r="A23" s="65" t="s">
        <v>8</v>
      </c>
      <c r="B23" s="44">
        <v>1.95</v>
      </c>
      <c r="C23" s="44">
        <v>1.66</v>
      </c>
      <c r="D23" s="44">
        <v>0.13</v>
      </c>
      <c r="E23" s="44">
        <v>0.1</v>
      </c>
      <c r="F23" s="45">
        <f t="shared" si="1"/>
        <v>6.0869445111917501E-4</v>
      </c>
      <c r="G23" s="45">
        <f t="shared" si="1"/>
        <v>3.3655986084177601E-4</v>
      </c>
      <c r="H23" s="46">
        <v>45</v>
      </c>
      <c r="I23" s="47">
        <f>(F23/(F23+G23))*H23</f>
        <v>28.977651785093812</v>
      </c>
      <c r="J23" s="47">
        <f>(G23/(F23+G23))*H23</f>
        <v>16.022348214906188</v>
      </c>
      <c r="K23" s="48">
        <f>D23*I23</f>
        <v>3.7670947320621955</v>
      </c>
      <c r="L23" s="48">
        <f>E23*J23</f>
        <v>1.6022348214906188</v>
      </c>
      <c r="M23" s="54">
        <f>K23+L23</f>
        <v>5.3693295535528147</v>
      </c>
      <c r="O23" s="25" t="s">
        <v>8</v>
      </c>
      <c r="P23" s="21">
        <f t="shared" si="3"/>
        <v>11.928435624956567</v>
      </c>
      <c r="Q23" s="26"/>
    </row>
    <row r="24" spans="1:17" ht="17.100000000000001" customHeight="1" x14ac:dyDescent="0.25">
      <c r="A24" s="65" t="s">
        <v>9</v>
      </c>
      <c r="B24" s="44">
        <v>1.43</v>
      </c>
      <c r="C24" s="44">
        <v>1.78</v>
      </c>
      <c r="D24" s="44">
        <v>7.0000000000000007E-2</v>
      </c>
      <c r="E24" s="44">
        <v>0.13</v>
      </c>
      <c r="F24" s="45">
        <f t="shared" si="1"/>
        <v>2.5414263168568801E-2</v>
      </c>
      <c r="G24" s="45">
        <f t="shared" si="1"/>
        <v>6.4630730381549498E-2</v>
      </c>
      <c r="H24" s="46">
        <v>352</v>
      </c>
      <c r="I24" s="47">
        <f>(F24/(F24+G24))*H24</f>
        <v>99.348340009120534</v>
      </c>
      <c r="J24" s="47">
        <f>(G24/(F24+G24))*H24</f>
        <v>252.65165999087947</v>
      </c>
      <c r="K24" s="48">
        <f>D24*I24</f>
        <v>6.9543838006384382</v>
      </c>
      <c r="L24" s="48">
        <f>E24*J24</f>
        <v>32.844715798814335</v>
      </c>
      <c r="M24" s="54">
        <f>K24+L24</f>
        <v>39.799099599452774</v>
      </c>
      <c r="O24" s="25" t="s">
        <v>9</v>
      </c>
      <c r="P24" s="21">
        <f t="shared" si="3"/>
        <v>64.439099599452774</v>
      </c>
      <c r="Q24" s="26"/>
    </row>
    <row r="25" spans="1:17" ht="12" customHeight="1" thickBot="1" x14ac:dyDescent="0.3">
      <c r="A25" s="55"/>
      <c r="B25" s="56"/>
      <c r="C25" s="56"/>
      <c r="D25" s="56"/>
      <c r="E25" s="56"/>
      <c r="F25" s="56"/>
      <c r="G25" s="56"/>
      <c r="H25" s="57"/>
      <c r="I25" s="56"/>
      <c r="J25" s="56"/>
      <c r="K25" s="56"/>
      <c r="L25" s="56"/>
      <c r="M25" s="58">
        <f>SUM(M19:M24)</f>
        <v>10737.147445649769</v>
      </c>
      <c r="O25" s="27" t="s">
        <v>16</v>
      </c>
      <c r="P25" s="28">
        <f t="shared" si="3"/>
        <v>15943.219845297401</v>
      </c>
      <c r="Q25" s="29" t="s">
        <v>18</v>
      </c>
    </row>
    <row r="27" spans="1:17" ht="15.75" thickBot="1" x14ac:dyDescent="0.3">
      <c r="P27" s="1"/>
    </row>
    <row r="28" spans="1:17" x14ac:dyDescent="0.25">
      <c r="A28" s="4"/>
      <c r="B28" s="5" t="s">
        <v>21</v>
      </c>
      <c r="C28" s="5" t="s">
        <v>22</v>
      </c>
      <c r="D28" s="6" t="s">
        <v>23</v>
      </c>
    </row>
    <row r="29" spans="1:17" x14ac:dyDescent="0.25">
      <c r="A29" s="7" t="s">
        <v>24</v>
      </c>
      <c r="B29" s="8">
        <f>1676*1000000000</f>
        <v>1676000000000</v>
      </c>
      <c r="C29" s="11">
        <v>5.1999999999999998E-2</v>
      </c>
      <c r="D29" s="30">
        <f t="shared" ref="D29" si="4">B29*C29</f>
        <v>87152000000</v>
      </c>
    </row>
    <row r="30" spans="1:17" x14ac:dyDescent="0.25">
      <c r="A30" s="7"/>
      <c r="B30" s="8"/>
      <c r="C30" s="11"/>
      <c r="D30" s="30"/>
      <c r="O30" s="22"/>
      <c r="P30" s="1"/>
    </row>
    <row r="31" spans="1:17" x14ac:dyDescent="0.25">
      <c r="A31" s="7" t="s">
        <v>25</v>
      </c>
      <c r="B31" s="10"/>
      <c r="C31" s="10"/>
      <c r="D31" s="13">
        <f>P25*1000000</f>
        <v>15943219845.297401</v>
      </c>
      <c r="P31" s="1"/>
    </row>
    <row r="32" spans="1:17" x14ac:dyDescent="0.25">
      <c r="A32" s="7" t="s">
        <v>69</v>
      </c>
      <c r="B32" s="10"/>
      <c r="C32" s="10"/>
      <c r="D32" s="31">
        <f>D31/D29</f>
        <v>0.18293578856821877</v>
      </c>
    </row>
    <row r="33" spans="1:4" ht="15.75" thickBot="1" x14ac:dyDescent="0.3">
      <c r="A33" s="17"/>
      <c r="B33" s="19"/>
      <c r="C33" s="19"/>
      <c r="D33" s="71"/>
    </row>
  </sheetData>
  <mergeCells count="18">
    <mergeCell ref="H15:H17"/>
    <mergeCell ref="I15:J17"/>
    <mergeCell ref="A1:E1"/>
    <mergeCell ref="A2:A4"/>
    <mergeCell ref="B2:C4"/>
    <mergeCell ref="D2:E4"/>
    <mergeCell ref="F2:G4"/>
    <mergeCell ref="H2:H4"/>
    <mergeCell ref="A14:D14"/>
    <mergeCell ref="A15:A17"/>
    <mergeCell ref="B15:C17"/>
    <mergeCell ref="D15:E17"/>
    <mergeCell ref="F15:G17"/>
    <mergeCell ref="K15:L17"/>
    <mergeCell ref="M15:M17"/>
    <mergeCell ref="I2:J4"/>
    <mergeCell ref="K2:L4"/>
    <mergeCell ref="M2:M4"/>
  </mergeCells>
  <pageMargins left="0.7" right="0.7" top="0.75" bottom="0.75" header="0.3" footer="0.3"/>
  <pageSetup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2E34A-9AE1-46C3-9D3C-FA661B77E4E0}">
  <dimension ref="A1:Q33"/>
  <sheetViews>
    <sheetView topLeftCell="B8" workbookViewId="0">
      <selection activeCell="D32" sqref="D32"/>
    </sheetView>
  </sheetViews>
  <sheetFormatPr defaultRowHeight="15" x14ac:dyDescent="0.25"/>
  <cols>
    <col min="1" max="1" width="57.140625" customWidth="1"/>
    <col min="2" max="2" width="21.5703125" customWidth="1"/>
    <col min="3" max="3" width="25.42578125" customWidth="1"/>
    <col min="4" max="4" width="18.140625" customWidth="1"/>
    <col min="5" max="7" width="17.28515625" customWidth="1"/>
    <col min="8" max="8" width="17.140625" customWidth="1"/>
    <col min="9" max="9" width="10.85546875" customWidth="1"/>
    <col min="10" max="10" width="13.140625" customWidth="1"/>
    <col min="11" max="11" width="9.42578125" customWidth="1"/>
    <col min="12" max="12" width="13.5703125" customWidth="1"/>
    <col min="13" max="13" width="22.85546875" customWidth="1"/>
    <col min="15" max="15" width="22" customWidth="1"/>
    <col min="16" max="16" width="13.5703125" customWidth="1"/>
    <col min="17" max="17" width="18.85546875" customWidth="1"/>
  </cols>
  <sheetData>
    <row r="1" spans="1:15" ht="15.75" x14ac:dyDescent="0.25">
      <c r="A1" s="99" t="s">
        <v>53</v>
      </c>
      <c r="B1" s="100"/>
      <c r="C1" s="100"/>
      <c r="D1" s="100"/>
      <c r="E1" s="100"/>
      <c r="F1" s="40"/>
      <c r="G1" s="40"/>
      <c r="H1" s="36"/>
      <c r="I1" s="32"/>
      <c r="J1" s="32"/>
      <c r="K1" s="32"/>
      <c r="L1" s="32"/>
      <c r="M1" s="34"/>
    </row>
    <row r="2" spans="1:15" ht="20.45" customHeight="1" x14ac:dyDescent="0.25">
      <c r="A2" s="101"/>
      <c r="B2" s="97" t="s">
        <v>17</v>
      </c>
      <c r="C2" s="97"/>
      <c r="D2" s="105" t="s">
        <v>54</v>
      </c>
      <c r="E2" s="106"/>
      <c r="F2" s="97" t="s">
        <v>52</v>
      </c>
      <c r="G2" s="97"/>
      <c r="H2" s="111" t="s">
        <v>59</v>
      </c>
      <c r="I2" s="105" t="s">
        <v>65</v>
      </c>
      <c r="J2" s="106"/>
      <c r="K2" s="114" t="s">
        <v>64</v>
      </c>
      <c r="L2" s="115"/>
      <c r="M2" s="102" t="s">
        <v>63</v>
      </c>
    </row>
    <row r="3" spans="1:15" ht="15.6" customHeight="1" x14ac:dyDescent="0.25">
      <c r="A3" s="101"/>
      <c r="B3" s="97"/>
      <c r="C3" s="97"/>
      <c r="D3" s="107"/>
      <c r="E3" s="108"/>
      <c r="F3" s="97"/>
      <c r="G3" s="97"/>
      <c r="H3" s="112"/>
      <c r="I3" s="107"/>
      <c r="J3" s="108"/>
      <c r="K3" s="116"/>
      <c r="L3" s="117"/>
      <c r="M3" s="103"/>
    </row>
    <row r="4" spans="1:15" ht="2.4500000000000002" customHeight="1" x14ac:dyDescent="0.25">
      <c r="A4" s="101"/>
      <c r="B4" s="97"/>
      <c r="C4" s="97"/>
      <c r="D4" s="109"/>
      <c r="E4" s="110"/>
      <c r="F4" s="97"/>
      <c r="G4" s="97"/>
      <c r="H4" s="113"/>
      <c r="I4" s="109"/>
      <c r="J4" s="110"/>
      <c r="K4" s="118"/>
      <c r="L4" s="119"/>
      <c r="M4" s="104"/>
    </row>
    <row r="5" spans="1:15" x14ac:dyDescent="0.25">
      <c r="A5" s="51" t="s">
        <v>0</v>
      </c>
      <c r="B5" s="43" t="s">
        <v>1</v>
      </c>
      <c r="C5" s="43" t="s">
        <v>2</v>
      </c>
      <c r="D5" s="43" t="s">
        <v>1</v>
      </c>
      <c r="E5" s="43" t="s">
        <v>2</v>
      </c>
      <c r="F5" s="43" t="s">
        <v>1</v>
      </c>
      <c r="G5" s="43" t="s">
        <v>2</v>
      </c>
      <c r="H5" s="42"/>
      <c r="I5" s="41" t="s">
        <v>3</v>
      </c>
      <c r="J5" s="41" t="s">
        <v>4</v>
      </c>
      <c r="K5" s="50" t="s">
        <v>3</v>
      </c>
      <c r="L5" s="50" t="s">
        <v>4</v>
      </c>
      <c r="M5" s="52"/>
    </row>
    <row r="6" spans="1:15" x14ac:dyDescent="0.25">
      <c r="A6" s="53" t="s">
        <v>5</v>
      </c>
      <c r="B6" s="44">
        <v>1.29</v>
      </c>
      <c r="C6" s="44">
        <v>1.8</v>
      </c>
      <c r="D6" s="44">
        <v>0.1</v>
      </c>
      <c r="E6" s="44">
        <v>0.16</v>
      </c>
      <c r="F6" s="45">
        <f>'GBD prevalence'!N8</f>
        <v>2.9763653716087E-2</v>
      </c>
      <c r="G6" s="45">
        <f>'GBD prevalence'!N9</f>
        <v>1.6759607424553499E-2</v>
      </c>
      <c r="H6" s="46">
        <v>798</v>
      </c>
      <c r="I6" s="47">
        <f>((F6/(F6+G6))*H6)</f>
        <v>510.5273165102638</v>
      </c>
      <c r="J6" s="47">
        <f>((G6/(F6+G6))*H6)</f>
        <v>287.47268348973626</v>
      </c>
      <c r="K6" s="48">
        <f t="shared" ref="K6:L8" si="0">D6*I6</f>
        <v>51.052731651026384</v>
      </c>
      <c r="L6" s="48">
        <f t="shared" si="0"/>
        <v>45.995629358357803</v>
      </c>
      <c r="M6" s="54">
        <f>K6+L6</f>
        <v>97.048361009384195</v>
      </c>
      <c r="O6" s="1"/>
    </row>
    <row r="7" spans="1:15" x14ac:dyDescent="0.25">
      <c r="A7" s="53" t="s">
        <v>6</v>
      </c>
      <c r="B7" s="44">
        <v>1.23</v>
      </c>
      <c r="C7" s="44">
        <v>1.1499999999999999</v>
      </c>
      <c r="D7" s="44">
        <v>0.08</v>
      </c>
      <c r="E7" s="44">
        <v>0.04</v>
      </c>
      <c r="F7" s="45">
        <f>'GBD prevalence'!N10</f>
        <v>1.2787662816608999E-2</v>
      </c>
      <c r="G7" s="45">
        <f>'GBD prevalence'!N11</f>
        <v>1.55784847726608E-2</v>
      </c>
      <c r="H7" s="46">
        <v>1118</v>
      </c>
      <c r="I7" s="47">
        <f>((F7/(F7+G7))*H7)</f>
        <v>504.00241992595807</v>
      </c>
      <c r="J7" s="47">
        <f>((G7/(F7+G7))*H7)</f>
        <v>613.99758007404182</v>
      </c>
      <c r="K7" s="48">
        <f t="shared" si="0"/>
        <v>40.320193594076649</v>
      </c>
      <c r="L7" s="48">
        <f t="shared" si="0"/>
        <v>24.559903202961674</v>
      </c>
      <c r="M7" s="54">
        <f>K7+L7</f>
        <v>64.88009679703832</v>
      </c>
    </row>
    <row r="8" spans="1:15" x14ac:dyDescent="0.25">
      <c r="A8" s="53" t="s">
        <v>10</v>
      </c>
      <c r="B8" s="44">
        <v>2.4</v>
      </c>
      <c r="C8" s="44">
        <v>3.92</v>
      </c>
      <c r="D8" s="44">
        <v>0.22</v>
      </c>
      <c r="E8" s="44">
        <v>0.23</v>
      </c>
      <c r="F8" s="45">
        <f>'GBD prevalence'!N12</f>
        <v>7.7837319776146802E-2</v>
      </c>
      <c r="G8" s="45">
        <f>'GBD prevalence'!N13</f>
        <v>6.4630730381549498E-2</v>
      </c>
      <c r="H8" s="72">
        <v>3977</v>
      </c>
      <c r="I8" s="47">
        <f>((F8/(F8+G8))*H8)</f>
        <v>2172.8311744779853</v>
      </c>
      <c r="J8" s="47">
        <f>((G8/(F8+G8))*H8)</f>
        <v>1804.168825522014</v>
      </c>
      <c r="K8" s="48">
        <f t="shared" si="0"/>
        <v>478.02285838515678</v>
      </c>
      <c r="L8" s="48">
        <f t="shared" si="0"/>
        <v>414.95882987006325</v>
      </c>
      <c r="M8" s="54">
        <f>K8+L8</f>
        <v>892.98168825521998</v>
      </c>
    </row>
    <row r="9" spans="1:15" x14ac:dyDescent="0.25">
      <c r="A9" s="53" t="s">
        <v>11</v>
      </c>
      <c r="B9" s="44" t="s">
        <v>7</v>
      </c>
      <c r="C9" s="44">
        <v>1.08</v>
      </c>
      <c r="D9" s="44" t="s">
        <v>7</v>
      </c>
      <c r="E9" s="44">
        <v>0.03</v>
      </c>
      <c r="F9" s="45">
        <f>'GBD prevalence'!N2</f>
        <v>1.83044303171544E-5</v>
      </c>
      <c r="G9" s="45">
        <f>'GBD prevalence'!N3</f>
        <v>3.2451662713967599E-3</v>
      </c>
      <c r="H9" s="46">
        <v>43</v>
      </c>
      <c r="I9" s="47">
        <v>0</v>
      </c>
      <c r="J9" s="47">
        <f>H9</f>
        <v>43</v>
      </c>
      <c r="K9" s="49">
        <v>0</v>
      </c>
      <c r="L9" s="48">
        <f>E9*J9</f>
        <v>1.29</v>
      </c>
      <c r="M9" s="54">
        <f>L9</f>
        <v>1.29</v>
      </c>
    </row>
    <row r="10" spans="1:15" x14ac:dyDescent="0.25">
      <c r="A10" s="53" t="s">
        <v>8</v>
      </c>
      <c r="B10" s="44">
        <v>1.51</v>
      </c>
      <c r="C10" s="44">
        <v>1.45</v>
      </c>
      <c r="D10" s="44">
        <v>0.16</v>
      </c>
      <c r="E10" s="44">
        <v>0.12</v>
      </c>
      <c r="F10" s="45">
        <f>'GBD prevalence'!N4</f>
        <v>6.0869445111917501E-4</v>
      </c>
      <c r="G10" s="45">
        <f>'GBD prevalence'!N5</f>
        <v>3.3655986084177601E-4</v>
      </c>
      <c r="H10" s="46">
        <v>45</v>
      </c>
      <c r="I10" s="47">
        <f>((F10/(F10+G10))*H10)</f>
        <v>28.977651785093812</v>
      </c>
      <c r="J10" s="47">
        <f>((G10/(F10+G10))*H10)</f>
        <v>16.022348214906188</v>
      </c>
      <c r="K10" s="48">
        <f>D10*I10</f>
        <v>4.6364242856150097</v>
      </c>
      <c r="L10" s="48">
        <f>E10*J10</f>
        <v>1.9226817857887424</v>
      </c>
      <c r="M10" s="54">
        <f>K10+L10</f>
        <v>6.5591060714037521</v>
      </c>
    </row>
    <row r="11" spans="1:15" x14ac:dyDescent="0.25">
      <c r="A11" s="53" t="s">
        <v>9</v>
      </c>
      <c r="B11" s="44">
        <v>1.2</v>
      </c>
      <c r="C11" s="44">
        <v>1.25</v>
      </c>
      <c r="D11" s="44">
        <v>7.0000000000000007E-2</v>
      </c>
      <c r="E11" s="44">
        <v>7.0000000000000007E-2</v>
      </c>
      <c r="F11" s="45">
        <f>'GBD prevalence'!N6</f>
        <v>2.5414263168568801E-2</v>
      </c>
      <c r="G11" s="45">
        <f>'GBD prevalence'!N13</f>
        <v>6.4630730381549498E-2</v>
      </c>
      <c r="H11" s="46">
        <v>352</v>
      </c>
      <c r="I11" s="47">
        <f>((F11/(F11+G11))*H11)</f>
        <v>99.348340009120534</v>
      </c>
      <c r="J11" s="47">
        <f>((G11/(F11+G11))*H11)</f>
        <v>252.65165999087947</v>
      </c>
      <c r="K11" s="48">
        <f>D11*I11</f>
        <v>6.9543838006384382</v>
      </c>
      <c r="L11" s="48">
        <f>E11*J11</f>
        <v>17.685616199361565</v>
      </c>
      <c r="M11" s="54">
        <f>K11+L11</f>
        <v>24.640000000000004</v>
      </c>
    </row>
    <row r="12" spans="1:15" ht="23.1" customHeight="1" thickBot="1" x14ac:dyDescent="0.3">
      <c r="A12" s="55"/>
      <c r="B12" s="56"/>
      <c r="C12" s="56"/>
      <c r="D12" s="56"/>
      <c r="E12" s="56"/>
      <c r="F12" s="56"/>
      <c r="G12" s="56"/>
      <c r="H12" s="57"/>
      <c r="I12" s="56"/>
      <c r="J12" s="56"/>
      <c r="K12" s="56"/>
      <c r="L12" s="56"/>
      <c r="M12" s="58">
        <f>SUM(M6:M11)</f>
        <v>1087.3992521330463</v>
      </c>
    </row>
    <row r="13" spans="1:15" ht="15.75" thickBot="1" x14ac:dyDescent="0.3">
      <c r="A13" s="35"/>
      <c r="B13" s="35"/>
      <c r="C13" s="35"/>
      <c r="D13" s="35"/>
      <c r="E13" s="35"/>
      <c r="F13" s="35"/>
      <c r="G13" s="35"/>
      <c r="H13" s="3"/>
      <c r="I13" s="35"/>
      <c r="J13" s="35"/>
      <c r="K13" s="35"/>
      <c r="L13" s="35"/>
      <c r="M13" s="35"/>
    </row>
    <row r="14" spans="1:15" ht="15.75" x14ac:dyDescent="0.25">
      <c r="A14" s="120" t="s">
        <v>12</v>
      </c>
      <c r="B14" s="121"/>
      <c r="C14" s="121"/>
      <c r="D14" s="121"/>
      <c r="E14" s="62"/>
      <c r="F14" s="62"/>
      <c r="G14" s="62"/>
      <c r="H14" s="63"/>
      <c r="I14" s="62"/>
      <c r="J14" s="62"/>
      <c r="K14" s="62"/>
      <c r="L14" s="62"/>
      <c r="M14" s="64"/>
    </row>
    <row r="15" spans="1:15" ht="20.45" customHeight="1" x14ac:dyDescent="0.25">
      <c r="A15" s="101"/>
      <c r="B15" s="97" t="s">
        <v>17</v>
      </c>
      <c r="C15" s="97"/>
      <c r="D15" s="97" t="s">
        <v>54</v>
      </c>
      <c r="E15" s="97"/>
      <c r="F15" s="97" t="s">
        <v>52</v>
      </c>
      <c r="G15" s="97"/>
      <c r="H15" s="97" t="s">
        <v>59</v>
      </c>
      <c r="I15" s="97" t="s">
        <v>60</v>
      </c>
      <c r="J15" s="97"/>
      <c r="K15" s="98" t="s">
        <v>61</v>
      </c>
      <c r="L15" s="98"/>
      <c r="M15" s="96" t="s">
        <v>62</v>
      </c>
    </row>
    <row r="16" spans="1:15" ht="15.6" customHeight="1" x14ac:dyDescent="0.25">
      <c r="A16" s="101"/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8"/>
      <c r="M16" s="96"/>
    </row>
    <row r="17" spans="1:17" ht="2.4500000000000002" customHeight="1" thickBot="1" x14ac:dyDescent="0.3">
      <c r="A17" s="101"/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98"/>
      <c r="M17" s="96"/>
    </row>
    <row r="18" spans="1:17" x14ac:dyDescent="0.25">
      <c r="A18" s="51" t="s">
        <v>0</v>
      </c>
      <c r="B18" s="43" t="s">
        <v>1</v>
      </c>
      <c r="C18" s="43" t="s">
        <v>2</v>
      </c>
      <c r="D18" s="43" t="s">
        <v>1</v>
      </c>
      <c r="E18" s="43" t="s">
        <v>2</v>
      </c>
      <c r="F18" s="43" t="s">
        <v>1</v>
      </c>
      <c r="G18" s="43" t="s">
        <v>2</v>
      </c>
      <c r="H18" s="42"/>
      <c r="I18" s="41" t="s">
        <v>3</v>
      </c>
      <c r="J18" s="41" t="s">
        <v>4</v>
      </c>
      <c r="K18" s="50" t="s">
        <v>3</v>
      </c>
      <c r="L18" s="50" t="s">
        <v>4</v>
      </c>
      <c r="M18" s="52"/>
      <c r="O18" s="59" t="s">
        <v>55</v>
      </c>
      <c r="P18" s="60"/>
      <c r="Q18" s="61"/>
    </row>
    <row r="19" spans="1:17" x14ac:dyDescent="0.25">
      <c r="A19" s="65" t="s">
        <v>5</v>
      </c>
      <c r="B19" s="44">
        <v>1.72</v>
      </c>
      <c r="C19" s="44">
        <v>3.1</v>
      </c>
      <c r="D19" s="44">
        <v>0.11</v>
      </c>
      <c r="E19" s="44">
        <v>0.25</v>
      </c>
      <c r="F19" s="45">
        <f t="shared" ref="F19:G24" si="1">F6</f>
        <v>2.9763653716087E-2</v>
      </c>
      <c r="G19" s="45">
        <f t="shared" si="1"/>
        <v>1.6759607424553499E-2</v>
      </c>
      <c r="H19" s="46">
        <v>798</v>
      </c>
      <c r="I19" s="47">
        <f>(F19/(F19+G19))*H19</f>
        <v>510.5273165102638</v>
      </c>
      <c r="J19" s="47">
        <f>(G19/(F19+G19))*H19</f>
        <v>287.47268348973626</v>
      </c>
      <c r="K19" s="48">
        <f t="shared" ref="K19:L21" si="2">D19*I19</f>
        <v>56.158004816129015</v>
      </c>
      <c r="L19" s="48">
        <f t="shared" si="2"/>
        <v>71.868170872434064</v>
      </c>
      <c r="M19" s="54">
        <f>K19+L19</f>
        <v>128.02617568856309</v>
      </c>
      <c r="O19" s="25" t="s">
        <v>5</v>
      </c>
      <c r="P19" s="21">
        <f t="shared" ref="P19:P25" si="3">M6+M19</f>
        <v>225.07453669794728</v>
      </c>
      <c r="Q19" s="26"/>
    </row>
    <row r="20" spans="1:17" x14ac:dyDescent="0.25">
      <c r="A20" s="65" t="s">
        <v>6</v>
      </c>
      <c r="B20" s="44">
        <v>1.51</v>
      </c>
      <c r="C20" s="44">
        <v>1.49</v>
      </c>
      <c r="D20" s="44">
        <v>0.08</v>
      </c>
      <c r="E20" s="44">
        <v>0.09</v>
      </c>
      <c r="F20" s="45">
        <f t="shared" si="1"/>
        <v>1.2787662816608999E-2</v>
      </c>
      <c r="G20" s="45">
        <f t="shared" si="1"/>
        <v>1.55784847726608E-2</v>
      </c>
      <c r="H20" s="46">
        <v>1118</v>
      </c>
      <c r="I20" s="47">
        <f>(F20/(F20+G20))*H20</f>
        <v>504.00241992595807</v>
      </c>
      <c r="J20" s="47">
        <f>(G20/(F20+G20))*H20</f>
        <v>613.99758007404182</v>
      </c>
      <c r="K20" s="48">
        <f t="shared" si="2"/>
        <v>40.320193594076649</v>
      </c>
      <c r="L20" s="48">
        <f t="shared" si="2"/>
        <v>55.259782206663765</v>
      </c>
      <c r="M20" s="54">
        <f>K20+L20</f>
        <v>95.579975800740414</v>
      </c>
      <c r="O20" s="25" t="s">
        <v>6</v>
      </c>
      <c r="P20" s="21">
        <f t="shared" si="3"/>
        <v>160.46007259777872</v>
      </c>
      <c r="Q20" s="26"/>
    </row>
    <row r="21" spans="1:17" x14ac:dyDescent="0.25">
      <c r="A21" s="65" t="s">
        <v>10</v>
      </c>
      <c r="B21" s="44">
        <v>6.74</v>
      </c>
      <c r="C21" s="44">
        <v>12.41</v>
      </c>
      <c r="D21" s="44">
        <v>0.41</v>
      </c>
      <c r="E21" s="44">
        <v>0.54</v>
      </c>
      <c r="F21" s="45">
        <f t="shared" si="1"/>
        <v>7.7837319776146802E-2</v>
      </c>
      <c r="G21" s="45">
        <f t="shared" si="1"/>
        <v>6.4630730381549498E-2</v>
      </c>
      <c r="H21" s="72">
        <v>3977</v>
      </c>
      <c r="I21" s="47">
        <f>(F21/(F21+G21))*H21</f>
        <v>2172.8311744779853</v>
      </c>
      <c r="J21" s="47">
        <f>(G21/(F21+G21))*H21</f>
        <v>1804.168825522014</v>
      </c>
      <c r="K21" s="48">
        <f t="shared" si="2"/>
        <v>890.86078153597396</v>
      </c>
      <c r="L21" s="48">
        <f t="shared" si="2"/>
        <v>974.25116578188761</v>
      </c>
      <c r="M21" s="54">
        <f>K21+L21</f>
        <v>1865.1119473178614</v>
      </c>
      <c r="O21" s="25" t="s">
        <v>10</v>
      </c>
      <c r="P21" s="21">
        <f t="shared" si="3"/>
        <v>2758.0936355730814</v>
      </c>
      <c r="Q21" s="26"/>
    </row>
    <row r="22" spans="1:17" x14ac:dyDescent="0.25">
      <c r="A22" s="65" t="s">
        <v>11</v>
      </c>
      <c r="B22" s="44" t="s">
        <v>7</v>
      </c>
      <c r="C22" s="44">
        <v>1.1299999999999999</v>
      </c>
      <c r="D22" s="44" t="s">
        <v>7</v>
      </c>
      <c r="E22" s="44">
        <v>0.02</v>
      </c>
      <c r="F22" s="45">
        <f t="shared" si="1"/>
        <v>1.83044303171544E-5</v>
      </c>
      <c r="G22" s="45">
        <f t="shared" si="1"/>
        <v>3.2451662713967599E-3</v>
      </c>
      <c r="H22" s="46">
        <v>43</v>
      </c>
      <c r="I22" s="47">
        <v>0</v>
      </c>
      <c r="J22" s="47">
        <f>H22</f>
        <v>43</v>
      </c>
      <c r="K22" s="49">
        <v>0</v>
      </c>
      <c r="L22" s="48">
        <f>E22*J22</f>
        <v>0.86</v>
      </c>
      <c r="M22" s="54">
        <f>L22</f>
        <v>0.86</v>
      </c>
      <c r="O22" s="25" t="s">
        <v>11</v>
      </c>
      <c r="P22" s="21">
        <f t="shared" si="3"/>
        <v>2.15</v>
      </c>
      <c r="Q22" s="26"/>
    </row>
    <row r="23" spans="1:17" x14ac:dyDescent="0.25">
      <c r="A23" s="65" t="s">
        <v>8</v>
      </c>
      <c r="B23" s="44">
        <v>1.95</v>
      </c>
      <c r="C23" s="44">
        <v>1.66</v>
      </c>
      <c r="D23" s="44">
        <v>0.13</v>
      </c>
      <c r="E23" s="44">
        <v>0.1</v>
      </c>
      <c r="F23" s="45">
        <f t="shared" si="1"/>
        <v>6.0869445111917501E-4</v>
      </c>
      <c r="G23" s="45">
        <f t="shared" si="1"/>
        <v>3.3655986084177601E-4</v>
      </c>
      <c r="H23" s="46">
        <v>45</v>
      </c>
      <c r="I23" s="47">
        <f>(F23/(F23+G23))*H23</f>
        <v>28.977651785093812</v>
      </c>
      <c r="J23" s="47">
        <f>(G23/(F23+G23))*H23</f>
        <v>16.022348214906188</v>
      </c>
      <c r="K23" s="48">
        <f>D23*I23</f>
        <v>3.7670947320621955</v>
      </c>
      <c r="L23" s="48">
        <f>E23*J23</f>
        <v>1.6022348214906188</v>
      </c>
      <c r="M23" s="54">
        <f>K23+L23</f>
        <v>5.3693295535528147</v>
      </c>
      <c r="O23" s="25" t="s">
        <v>8</v>
      </c>
      <c r="P23" s="21">
        <f t="shared" si="3"/>
        <v>11.928435624956567</v>
      </c>
      <c r="Q23" s="26"/>
    </row>
    <row r="24" spans="1:17" ht="17.100000000000001" customHeight="1" x14ac:dyDescent="0.25">
      <c r="A24" s="65" t="s">
        <v>9</v>
      </c>
      <c r="B24" s="44">
        <v>1.43</v>
      </c>
      <c r="C24" s="44">
        <v>1.78</v>
      </c>
      <c r="D24" s="44">
        <v>7.0000000000000007E-2</v>
      </c>
      <c r="E24" s="44">
        <v>0.13</v>
      </c>
      <c r="F24" s="45">
        <f t="shared" si="1"/>
        <v>2.5414263168568801E-2</v>
      </c>
      <c r="G24" s="45">
        <f t="shared" si="1"/>
        <v>6.4630730381549498E-2</v>
      </c>
      <c r="H24" s="46">
        <v>352</v>
      </c>
      <c r="I24" s="47">
        <f>(F24/(F24+G24))*H24</f>
        <v>99.348340009120534</v>
      </c>
      <c r="J24" s="47">
        <f>(G24/(F24+G24))*H24</f>
        <v>252.65165999087947</v>
      </c>
      <c r="K24" s="48">
        <f>D24*I24</f>
        <v>6.9543838006384382</v>
      </c>
      <c r="L24" s="48">
        <f>E24*J24</f>
        <v>32.844715798814335</v>
      </c>
      <c r="M24" s="54">
        <f>K24+L24</f>
        <v>39.799099599452774</v>
      </c>
      <c r="O24" s="25" t="s">
        <v>9</v>
      </c>
      <c r="P24" s="21">
        <f t="shared" si="3"/>
        <v>64.439099599452774</v>
      </c>
      <c r="Q24" s="26"/>
    </row>
    <row r="25" spans="1:17" ht="12" customHeight="1" thickBot="1" x14ac:dyDescent="0.3">
      <c r="A25" s="55"/>
      <c r="B25" s="56"/>
      <c r="C25" s="56"/>
      <c r="D25" s="56"/>
      <c r="E25" s="56"/>
      <c r="F25" s="56"/>
      <c r="G25" s="56"/>
      <c r="H25" s="57"/>
      <c r="I25" s="56"/>
      <c r="J25" s="56"/>
      <c r="K25" s="56"/>
      <c r="L25" s="56"/>
      <c r="M25" s="58">
        <f>SUM(M19:M24)</f>
        <v>2134.7465279601706</v>
      </c>
      <c r="O25" s="27" t="s">
        <v>16</v>
      </c>
      <c r="P25" s="28">
        <f t="shared" si="3"/>
        <v>3222.1457800932167</v>
      </c>
      <c r="Q25" s="29" t="s">
        <v>18</v>
      </c>
    </row>
    <row r="27" spans="1:17" ht="15.75" thickBot="1" x14ac:dyDescent="0.3">
      <c r="P27" s="1"/>
    </row>
    <row r="28" spans="1:17" x14ac:dyDescent="0.25">
      <c r="A28" s="4"/>
      <c r="B28" s="5" t="s">
        <v>21</v>
      </c>
      <c r="C28" s="5" t="s">
        <v>22</v>
      </c>
      <c r="D28" s="6" t="s">
        <v>23</v>
      </c>
    </row>
    <row r="29" spans="1:17" x14ac:dyDescent="0.25">
      <c r="A29" s="7" t="s">
        <v>24</v>
      </c>
      <c r="B29" s="8">
        <f>1676*1000000000</f>
        <v>1676000000000</v>
      </c>
      <c r="C29" s="11">
        <v>5.1999999999999998E-2</v>
      </c>
      <c r="D29" s="30">
        <f t="shared" ref="D29" si="4">B29*C29</f>
        <v>87152000000</v>
      </c>
    </row>
    <row r="30" spans="1:17" x14ac:dyDescent="0.25">
      <c r="A30" s="7"/>
      <c r="B30" s="8"/>
      <c r="C30" s="11"/>
      <c r="D30" s="30"/>
      <c r="O30" s="22"/>
      <c r="P30" s="1"/>
    </row>
    <row r="31" spans="1:17" x14ac:dyDescent="0.25">
      <c r="A31" s="7" t="s">
        <v>25</v>
      </c>
      <c r="B31" s="10"/>
      <c r="C31" s="10"/>
      <c r="D31" s="13">
        <f>P25*1000000</f>
        <v>3222145780.0932169</v>
      </c>
      <c r="P31" s="1"/>
    </row>
    <row r="32" spans="1:17" x14ac:dyDescent="0.25">
      <c r="A32" s="7" t="s">
        <v>69</v>
      </c>
      <c r="B32" s="10"/>
      <c r="C32" s="10"/>
      <c r="D32" s="31">
        <f>D31/D29</f>
        <v>3.697156439431358E-2</v>
      </c>
    </row>
    <row r="33" spans="1:4" ht="15.75" thickBot="1" x14ac:dyDescent="0.3">
      <c r="A33" s="17"/>
      <c r="B33" s="19"/>
      <c r="C33" s="19"/>
      <c r="D33" s="71"/>
    </row>
  </sheetData>
  <mergeCells count="18">
    <mergeCell ref="H15:H17"/>
    <mergeCell ref="I15:J17"/>
    <mergeCell ref="A1:E1"/>
    <mergeCell ref="A2:A4"/>
    <mergeCell ref="B2:C4"/>
    <mergeCell ref="D2:E4"/>
    <mergeCell ref="F2:G4"/>
    <mergeCell ref="H2:H4"/>
    <mergeCell ref="A14:D14"/>
    <mergeCell ref="A15:A17"/>
    <mergeCell ref="B15:C17"/>
    <mergeCell ref="D15:E17"/>
    <mergeCell ref="F15:G17"/>
    <mergeCell ref="K15:L17"/>
    <mergeCell ref="M15:M17"/>
    <mergeCell ref="I2:J4"/>
    <mergeCell ref="K2:L4"/>
    <mergeCell ref="M2:M4"/>
  </mergeCells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22EEE-1EBC-45DA-91EC-7340653AC439}">
  <dimension ref="A1:S92"/>
  <sheetViews>
    <sheetView topLeftCell="A55" workbookViewId="0">
      <selection activeCell="B85" sqref="B85"/>
    </sheetView>
  </sheetViews>
  <sheetFormatPr defaultRowHeight="15" x14ac:dyDescent="0.25"/>
  <cols>
    <col min="1" max="1" width="57.140625" customWidth="1"/>
    <col min="2" max="2" width="21.5703125" customWidth="1"/>
    <col min="3" max="3" width="25.42578125" customWidth="1"/>
    <col min="4" max="4" width="18.140625" customWidth="1"/>
    <col min="5" max="5" width="17.28515625" customWidth="1"/>
    <col min="6" max="6" width="14.85546875" customWidth="1"/>
    <col min="7" max="8" width="17.28515625" customWidth="1"/>
    <col min="9" max="9" width="17.140625" customWidth="1"/>
    <col min="10" max="10" width="16.7109375" customWidth="1"/>
    <col min="11" max="11" width="13.140625" customWidth="1"/>
    <col min="12" max="12" width="23" customWidth="1"/>
    <col min="13" max="13" width="17.85546875" customWidth="1"/>
    <col min="14" max="14" width="22.85546875" customWidth="1"/>
    <col min="15" max="15" width="21.7109375" customWidth="1"/>
    <col min="16" max="16" width="22" hidden="1" customWidth="1"/>
    <col min="17" max="17" width="13.5703125" hidden="1" customWidth="1"/>
  </cols>
  <sheetData>
    <row r="1" spans="1:15" ht="15.75" x14ac:dyDescent="0.25">
      <c r="A1" s="99" t="s">
        <v>53</v>
      </c>
      <c r="B1" s="100"/>
      <c r="C1" s="100"/>
      <c r="D1" s="100"/>
      <c r="E1" s="100"/>
      <c r="F1" s="93"/>
      <c r="G1" s="40"/>
      <c r="H1" s="40"/>
      <c r="I1" s="36"/>
      <c r="J1" s="32"/>
      <c r="K1" s="32"/>
      <c r="L1" s="32"/>
      <c r="M1" s="32"/>
      <c r="N1" s="33"/>
      <c r="O1" s="10"/>
    </row>
    <row r="2" spans="1:15" ht="20.45" customHeight="1" x14ac:dyDescent="0.25">
      <c r="A2" s="101"/>
      <c r="B2" s="97" t="s">
        <v>17</v>
      </c>
      <c r="C2" s="97"/>
      <c r="D2" s="105" t="s">
        <v>54</v>
      </c>
      <c r="E2" s="106"/>
      <c r="F2" s="97" t="s">
        <v>52</v>
      </c>
      <c r="G2" s="97"/>
      <c r="H2" s="111" t="s">
        <v>59</v>
      </c>
      <c r="I2" s="105" t="s">
        <v>65</v>
      </c>
      <c r="J2" s="106"/>
      <c r="K2" s="114" t="s">
        <v>64</v>
      </c>
      <c r="L2" s="115"/>
      <c r="M2" s="102" t="s">
        <v>63</v>
      </c>
    </row>
    <row r="3" spans="1:15" ht="15.6" customHeight="1" x14ac:dyDescent="0.25">
      <c r="A3" s="101"/>
      <c r="B3" s="97"/>
      <c r="C3" s="97"/>
      <c r="D3" s="107"/>
      <c r="E3" s="108"/>
      <c r="F3" s="97"/>
      <c r="G3" s="97"/>
      <c r="H3" s="112"/>
      <c r="I3" s="107"/>
      <c r="J3" s="108"/>
      <c r="K3" s="116"/>
      <c r="L3" s="117"/>
      <c r="M3" s="103"/>
    </row>
    <row r="4" spans="1:15" ht="51.75" customHeight="1" x14ac:dyDescent="0.25">
      <c r="A4" s="101"/>
      <c r="B4" s="97"/>
      <c r="C4" s="97"/>
      <c r="D4" s="109"/>
      <c r="E4" s="110"/>
      <c r="F4" s="97"/>
      <c r="G4" s="97"/>
      <c r="H4" s="113"/>
      <c r="I4" s="109"/>
      <c r="J4" s="110"/>
      <c r="K4" s="118"/>
      <c r="L4" s="119"/>
      <c r="M4" s="104"/>
    </row>
    <row r="5" spans="1:15" x14ac:dyDescent="0.25">
      <c r="A5" s="51" t="s">
        <v>0</v>
      </c>
      <c r="B5" s="43" t="s">
        <v>1</v>
      </c>
      <c r="C5" s="43" t="s">
        <v>2</v>
      </c>
      <c r="D5" s="43" t="s">
        <v>1</v>
      </c>
      <c r="E5" s="43" t="s">
        <v>2</v>
      </c>
      <c r="F5" s="43" t="s">
        <v>1</v>
      </c>
      <c r="G5" s="43" t="s">
        <v>2</v>
      </c>
      <c r="H5" s="42"/>
      <c r="I5" s="94" t="s">
        <v>3</v>
      </c>
      <c r="J5" s="94" t="s">
        <v>4</v>
      </c>
      <c r="K5" s="95" t="s">
        <v>3</v>
      </c>
      <c r="L5" s="95" t="s">
        <v>4</v>
      </c>
      <c r="M5" s="52"/>
    </row>
    <row r="6" spans="1:15" x14ac:dyDescent="0.25">
      <c r="A6" s="53" t="s">
        <v>5</v>
      </c>
      <c r="B6" s="44">
        <v>1.29</v>
      </c>
      <c r="C6" s="44">
        <v>1.8</v>
      </c>
      <c r="D6" s="44">
        <v>0.1</v>
      </c>
      <c r="E6" s="44">
        <v>0.16</v>
      </c>
      <c r="F6" s="45">
        <f>'GBD prevalence'!N8</f>
        <v>2.9763653716087E-2</v>
      </c>
      <c r="G6" s="45">
        <f>'GBD prevalence'!N9</f>
        <v>1.6759607424553499E-2</v>
      </c>
      <c r="H6" s="46">
        <v>798</v>
      </c>
      <c r="I6" s="47">
        <f>((F6/(F6+G6))*H6)</f>
        <v>510.5273165102638</v>
      </c>
      <c r="J6" s="47">
        <f>((G6/(F6+G6))*H6)</f>
        <v>287.47268348973626</v>
      </c>
      <c r="K6" s="48">
        <f>D6*I6</f>
        <v>51.052731651026384</v>
      </c>
      <c r="L6" s="48">
        <f>E6*J6</f>
        <v>45.995629358357803</v>
      </c>
      <c r="M6" s="54">
        <f>K6+L6</f>
        <v>97.048361009384195</v>
      </c>
      <c r="O6" s="1"/>
    </row>
    <row r="7" spans="1:15" x14ac:dyDescent="0.25">
      <c r="A7" s="53" t="s">
        <v>6</v>
      </c>
      <c r="B7" s="44">
        <v>1.23</v>
      </c>
      <c r="C7" s="44">
        <v>1.1499999999999999</v>
      </c>
      <c r="D7" s="44">
        <v>0.08</v>
      </c>
      <c r="E7" s="44">
        <v>0.04</v>
      </c>
      <c r="F7" s="45">
        <f>'GBD prevalence'!N10</f>
        <v>1.2787662816608999E-2</v>
      </c>
      <c r="G7" s="45">
        <f>'GBD prevalence'!N11</f>
        <v>1.55784847726608E-2</v>
      </c>
      <c r="H7" s="46">
        <v>1118</v>
      </c>
      <c r="I7" s="47">
        <f>((F7/(F7+G7))*H7)</f>
        <v>504.00241992595807</v>
      </c>
      <c r="J7" s="47">
        <f>((G7/(F7+G7))*H7)</f>
        <v>613.99758007404182</v>
      </c>
      <c r="K7" s="48">
        <f>D7*I7</f>
        <v>40.320193594076649</v>
      </c>
      <c r="L7" s="48">
        <f>E7*J7</f>
        <v>24.559903202961674</v>
      </c>
      <c r="M7" s="54">
        <f>K7+L7</f>
        <v>64.88009679703832</v>
      </c>
    </row>
    <row r="8" spans="1:15" x14ac:dyDescent="0.25">
      <c r="A8" s="53" t="s">
        <v>10</v>
      </c>
      <c r="B8" s="44">
        <v>2.4</v>
      </c>
      <c r="C8" s="44">
        <v>3.92</v>
      </c>
      <c r="D8" s="44">
        <v>0.22</v>
      </c>
      <c r="E8" s="44">
        <v>0.23</v>
      </c>
      <c r="F8" s="45">
        <f>'GBD prevalence'!N12</f>
        <v>7.7837319776146802E-2</v>
      </c>
      <c r="G8" s="45">
        <f>'GBD prevalence'!N13</f>
        <v>6.4630730381549498E-2</v>
      </c>
      <c r="H8" s="72">
        <v>8275</v>
      </c>
      <c r="I8" s="47">
        <f>((F8/(F8+G8))*H8)</f>
        <v>4521.0404749321924</v>
      </c>
      <c r="J8" s="47">
        <f>((G8/(F8+G8))*H8)</f>
        <v>3753.9595250678067</v>
      </c>
      <c r="K8" s="48">
        <f>D8*I8</f>
        <v>994.62890448508233</v>
      </c>
      <c r="L8" s="48">
        <f>E8*J8</f>
        <v>863.41069076559552</v>
      </c>
      <c r="M8" s="54">
        <f>K8+L8</f>
        <v>1858.0395952506778</v>
      </c>
    </row>
    <row r="9" spans="1:15" x14ac:dyDescent="0.25">
      <c r="A9" s="53" t="s">
        <v>11</v>
      </c>
      <c r="B9" s="44" t="s">
        <v>7</v>
      </c>
      <c r="C9" s="44">
        <v>1.08</v>
      </c>
      <c r="D9" s="44" t="s">
        <v>7</v>
      </c>
      <c r="E9" s="44">
        <v>0.03</v>
      </c>
      <c r="F9" s="45">
        <f>'GBD prevalence'!N2</f>
        <v>1.83044303171544E-5</v>
      </c>
      <c r="G9" s="45">
        <f>'GBD prevalence'!N3</f>
        <v>3.2451662713967599E-3</v>
      </c>
      <c r="H9" s="46">
        <v>43</v>
      </c>
      <c r="I9" s="47">
        <v>0</v>
      </c>
      <c r="J9" s="47">
        <f>H9</f>
        <v>43</v>
      </c>
      <c r="K9" s="49">
        <v>0</v>
      </c>
      <c r="L9" s="48">
        <f>E9*J9</f>
        <v>1.29</v>
      </c>
      <c r="M9" s="54">
        <f>L9</f>
        <v>1.29</v>
      </c>
    </row>
    <row r="10" spans="1:15" x14ac:dyDescent="0.25">
      <c r="A10" s="53" t="s">
        <v>8</v>
      </c>
      <c r="B10" s="44">
        <v>1.51</v>
      </c>
      <c r="C10" s="44">
        <v>1.45</v>
      </c>
      <c r="D10" s="44">
        <v>0.16</v>
      </c>
      <c r="E10" s="44">
        <v>0.12</v>
      </c>
      <c r="F10" s="45">
        <f>'GBD prevalence'!N4</f>
        <v>6.0869445111917501E-4</v>
      </c>
      <c r="G10" s="45">
        <f>'GBD prevalence'!N5</f>
        <v>3.3655986084177601E-4</v>
      </c>
      <c r="H10" s="46">
        <v>45</v>
      </c>
      <c r="I10" s="47">
        <f>((F10/(F10+G10))*H10)</f>
        <v>28.977651785093812</v>
      </c>
      <c r="J10" s="47">
        <f>((G10/(F10+G10))*H10)</f>
        <v>16.022348214906188</v>
      </c>
      <c r="K10" s="48">
        <f>D10*I10</f>
        <v>4.6364242856150097</v>
      </c>
      <c r="L10" s="48">
        <f>E10*J10</f>
        <v>1.9226817857887424</v>
      </c>
      <c r="M10" s="54">
        <f>K10+L10</f>
        <v>6.5591060714037521</v>
      </c>
    </row>
    <row r="11" spans="1:15" x14ac:dyDescent="0.25">
      <c r="A11" s="53" t="s">
        <v>9</v>
      </c>
      <c r="B11" s="44">
        <v>1.2</v>
      </c>
      <c r="C11" s="44">
        <v>1.25</v>
      </c>
      <c r="D11" s="44">
        <v>7.0000000000000007E-2</v>
      </c>
      <c r="E11" s="44">
        <v>7.0000000000000007E-2</v>
      </c>
      <c r="F11" s="45">
        <f>'GBD prevalence'!N6</f>
        <v>2.5414263168568801E-2</v>
      </c>
      <c r="G11" s="45">
        <f>'GBD prevalence'!N13</f>
        <v>6.4630730381549498E-2</v>
      </c>
      <c r="H11" s="46">
        <v>352</v>
      </c>
      <c r="I11" s="47">
        <f>((F11/(F11+G11))*H11)</f>
        <v>99.348340009120534</v>
      </c>
      <c r="J11" s="47">
        <f>((G11/(F11+G11))*H11)</f>
        <v>252.65165999087947</v>
      </c>
      <c r="K11" s="48">
        <f>D11*I11</f>
        <v>6.9543838006384382</v>
      </c>
      <c r="L11" s="48">
        <f>E11*J11</f>
        <v>17.685616199361565</v>
      </c>
      <c r="M11" s="54">
        <f>K11+L11</f>
        <v>24.640000000000004</v>
      </c>
    </row>
    <row r="12" spans="1:15" ht="23.1" customHeight="1" thickBot="1" x14ac:dyDescent="0.3">
      <c r="A12" s="55"/>
      <c r="B12" s="56"/>
      <c r="C12" s="56"/>
      <c r="D12" s="56"/>
      <c r="E12" s="56"/>
      <c r="F12" s="56"/>
      <c r="G12" s="56"/>
      <c r="H12" s="58">
        <f t="shared" ref="H12:M12" si="0">SUM(H6:H11)</f>
        <v>10631</v>
      </c>
      <c r="I12" s="58">
        <f t="shared" si="0"/>
        <v>5663.8962031626297</v>
      </c>
      <c r="J12" s="58">
        <f t="shared" si="0"/>
        <v>4967.1037968373694</v>
      </c>
      <c r="K12" s="58">
        <f t="shared" si="0"/>
        <v>1097.5926378164388</v>
      </c>
      <c r="L12" s="58">
        <f t="shared" si="0"/>
        <v>954.86452131206534</v>
      </c>
      <c r="M12" s="58">
        <f t="shared" si="0"/>
        <v>2052.4571591285039</v>
      </c>
    </row>
    <row r="13" spans="1:15" ht="15.75" thickBot="1" x14ac:dyDescent="0.3">
      <c r="A13" s="35"/>
      <c r="B13" s="35"/>
      <c r="C13" s="35"/>
      <c r="D13" s="35"/>
      <c r="E13" s="35"/>
      <c r="F13" s="35"/>
      <c r="G13" s="35"/>
      <c r="H13" s="3"/>
      <c r="I13" s="35"/>
      <c r="J13" s="35"/>
      <c r="K13" s="35"/>
      <c r="L13" s="35"/>
      <c r="M13" s="35"/>
    </row>
    <row r="14" spans="1:15" ht="15.75" x14ac:dyDescent="0.25">
      <c r="A14" s="120" t="s">
        <v>12</v>
      </c>
      <c r="B14" s="121"/>
      <c r="C14" s="121"/>
      <c r="D14" s="121"/>
      <c r="E14" s="62"/>
      <c r="F14" s="62"/>
      <c r="G14" s="62"/>
      <c r="H14" s="63"/>
      <c r="I14" s="62"/>
      <c r="J14" s="62"/>
      <c r="K14" s="62"/>
      <c r="L14" s="62"/>
      <c r="M14" s="64"/>
    </row>
    <row r="15" spans="1:15" ht="20.45" customHeight="1" x14ac:dyDescent="0.25">
      <c r="A15" s="101"/>
      <c r="B15" s="97" t="s">
        <v>17</v>
      </c>
      <c r="C15" s="97"/>
      <c r="D15" s="97" t="s">
        <v>54</v>
      </c>
      <c r="E15" s="97"/>
      <c r="F15" s="97" t="s">
        <v>52</v>
      </c>
      <c r="G15" s="97"/>
      <c r="H15" s="97" t="s">
        <v>59</v>
      </c>
      <c r="I15" s="97" t="s">
        <v>60</v>
      </c>
      <c r="J15" s="97"/>
      <c r="K15" s="98" t="s">
        <v>61</v>
      </c>
      <c r="L15" s="98"/>
      <c r="M15" s="96" t="s">
        <v>62</v>
      </c>
    </row>
    <row r="16" spans="1:15" ht="60" customHeight="1" x14ac:dyDescent="0.25">
      <c r="A16" s="101"/>
      <c r="B16" s="97"/>
      <c r="C16" s="97"/>
      <c r="D16" s="97"/>
      <c r="E16" s="97"/>
      <c r="F16" s="97"/>
      <c r="G16" s="97"/>
      <c r="H16" s="97"/>
      <c r="I16" s="97"/>
      <c r="J16" s="97"/>
      <c r="K16" s="98"/>
      <c r="L16" s="98"/>
      <c r="M16" s="96"/>
    </row>
    <row r="17" spans="1:18" ht="2.4500000000000002" customHeight="1" thickBot="1" x14ac:dyDescent="0.3">
      <c r="A17" s="101"/>
      <c r="B17" s="97"/>
      <c r="C17" s="97"/>
      <c r="D17" s="97"/>
      <c r="E17" s="97"/>
      <c r="F17" s="97"/>
      <c r="G17" s="97"/>
      <c r="H17" s="97"/>
      <c r="I17" s="97"/>
      <c r="J17" s="97"/>
      <c r="K17" s="98"/>
      <c r="L17" s="98"/>
      <c r="M17" s="96"/>
    </row>
    <row r="18" spans="1:18" x14ac:dyDescent="0.25">
      <c r="A18" s="51" t="s">
        <v>0</v>
      </c>
      <c r="B18" s="43" t="s">
        <v>1</v>
      </c>
      <c r="C18" s="43" t="s">
        <v>2</v>
      </c>
      <c r="D18" s="43" t="s">
        <v>1</v>
      </c>
      <c r="E18" s="43" t="s">
        <v>2</v>
      </c>
      <c r="F18" s="43" t="s">
        <v>1</v>
      </c>
      <c r="G18" s="43" t="s">
        <v>2</v>
      </c>
      <c r="H18" s="42"/>
      <c r="I18" s="94" t="s">
        <v>3</v>
      </c>
      <c r="J18" s="94" t="s">
        <v>4</v>
      </c>
      <c r="K18" s="95" t="s">
        <v>3</v>
      </c>
      <c r="L18" s="95" t="s">
        <v>4</v>
      </c>
      <c r="M18" s="52"/>
      <c r="O18" s="59" t="s">
        <v>55</v>
      </c>
      <c r="P18" s="60"/>
      <c r="Q18" s="61"/>
      <c r="R18" s="6"/>
    </row>
    <row r="19" spans="1:18" x14ac:dyDescent="0.25">
      <c r="A19" s="65" t="s">
        <v>5</v>
      </c>
      <c r="B19" s="44">
        <v>1.72</v>
      </c>
      <c r="C19" s="44">
        <v>3.1</v>
      </c>
      <c r="D19" s="44">
        <v>0.11</v>
      </c>
      <c r="E19" s="44">
        <v>0.25</v>
      </c>
      <c r="F19" s="45">
        <f t="shared" ref="F19:G24" si="1">F6</f>
        <v>2.9763653716087E-2</v>
      </c>
      <c r="G19" s="45">
        <f t="shared" si="1"/>
        <v>1.6759607424553499E-2</v>
      </c>
      <c r="H19" s="46">
        <v>798</v>
      </c>
      <c r="I19" s="47">
        <f>(F19/(F19+G19))*H19</f>
        <v>510.5273165102638</v>
      </c>
      <c r="J19" s="47">
        <f>(G19/(F19+G19))*H19</f>
        <v>287.47268348973626</v>
      </c>
      <c r="K19" s="48">
        <f>D19*I19</f>
        <v>56.158004816129015</v>
      </c>
      <c r="L19" s="48">
        <f>E19*J19</f>
        <v>71.868170872434064</v>
      </c>
      <c r="M19" s="54">
        <f>K19+L19</f>
        <v>128.02617568856309</v>
      </c>
      <c r="O19" s="25" t="s">
        <v>5</v>
      </c>
      <c r="P19" s="21">
        <f t="shared" ref="P19:P25" si="2">M6+M19</f>
        <v>225.07453669794728</v>
      </c>
      <c r="Q19" s="26"/>
      <c r="R19" s="13">
        <f>M6+M19</f>
        <v>225.07453669794728</v>
      </c>
    </row>
    <row r="20" spans="1:18" x14ac:dyDescent="0.25">
      <c r="A20" s="65" t="s">
        <v>6</v>
      </c>
      <c r="B20" s="44">
        <v>1.51</v>
      </c>
      <c r="C20" s="44">
        <v>1.49</v>
      </c>
      <c r="D20" s="44">
        <v>0.08</v>
      </c>
      <c r="E20" s="44">
        <v>0.09</v>
      </c>
      <c r="F20" s="45">
        <f t="shared" si="1"/>
        <v>1.2787662816608999E-2</v>
      </c>
      <c r="G20" s="45">
        <f t="shared" si="1"/>
        <v>1.55784847726608E-2</v>
      </c>
      <c r="H20" s="46">
        <v>1118</v>
      </c>
      <c r="I20" s="47">
        <f>(F20/(F20+G20))*H20</f>
        <v>504.00241992595807</v>
      </c>
      <c r="J20" s="47">
        <f>(G20/(F20+G20))*H20</f>
        <v>613.99758007404182</v>
      </c>
      <c r="K20" s="48">
        <f>D20*I20</f>
        <v>40.320193594076649</v>
      </c>
      <c r="L20" s="48">
        <f>E20*J20</f>
        <v>55.259782206663765</v>
      </c>
      <c r="M20" s="54">
        <f>K20+L20</f>
        <v>95.579975800740414</v>
      </c>
      <c r="O20" s="25" t="s">
        <v>6</v>
      </c>
      <c r="P20" s="21">
        <f t="shared" si="2"/>
        <v>160.46007259777872</v>
      </c>
      <c r="Q20" s="26"/>
      <c r="R20" s="13">
        <f>M7+M20</f>
        <v>160.46007259777872</v>
      </c>
    </row>
    <row r="21" spans="1:18" x14ac:dyDescent="0.25">
      <c r="A21" s="65" t="s">
        <v>10</v>
      </c>
      <c r="B21" s="44">
        <v>6.74</v>
      </c>
      <c r="C21" s="44">
        <v>12.41</v>
      </c>
      <c r="D21" s="44">
        <v>0.41</v>
      </c>
      <c r="E21" s="44">
        <v>0.54</v>
      </c>
      <c r="F21" s="45">
        <f t="shared" si="1"/>
        <v>7.7837319776146802E-2</v>
      </c>
      <c r="G21" s="45">
        <f t="shared" si="1"/>
        <v>6.4630730381549498E-2</v>
      </c>
      <c r="H21" s="72">
        <v>8275</v>
      </c>
      <c r="I21" s="47">
        <f>(F21/(F21+G21))*H21</f>
        <v>4521.0404749321924</v>
      </c>
      <c r="J21" s="47">
        <f>(G21/(F21+G21))*H21</f>
        <v>3753.9595250678067</v>
      </c>
      <c r="K21" s="48">
        <f>D21*I21</f>
        <v>1853.6265947221989</v>
      </c>
      <c r="L21" s="48">
        <f>E21*J21</f>
        <v>2027.1381435366156</v>
      </c>
      <c r="M21" s="54">
        <f>K21+L21</f>
        <v>3880.7647382588148</v>
      </c>
      <c r="O21" s="25" t="s">
        <v>10</v>
      </c>
      <c r="P21" s="21">
        <f t="shared" si="2"/>
        <v>5738.8043335094926</v>
      </c>
      <c r="Q21" s="76">
        <f>P21/P25</f>
        <v>0.9251873477705318</v>
      </c>
      <c r="R21" s="13">
        <f>M8+M21</f>
        <v>5738.8043335094926</v>
      </c>
    </row>
    <row r="22" spans="1:18" x14ac:dyDescent="0.25">
      <c r="A22" s="65" t="s">
        <v>11</v>
      </c>
      <c r="B22" s="44" t="s">
        <v>7</v>
      </c>
      <c r="C22" s="44">
        <v>1.1299999999999999</v>
      </c>
      <c r="D22" s="44" t="s">
        <v>7</v>
      </c>
      <c r="E22" s="44">
        <v>0.02</v>
      </c>
      <c r="F22" s="45">
        <f t="shared" si="1"/>
        <v>1.83044303171544E-5</v>
      </c>
      <c r="G22" s="45">
        <f t="shared" si="1"/>
        <v>3.2451662713967599E-3</v>
      </c>
      <c r="H22" s="46">
        <v>43</v>
      </c>
      <c r="I22" s="47">
        <v>0</v>
      </c>
      <c r="J22" s="47">
        <f>H22</f>
        <v>43</v>
      </c>
      <c r="K22" s="49">
        <v>0</v>
      </c>
      <c r="L22" s="48">
        <f>E22*J22</f>
        <v>0.86</v>
      </c>
      <c r="M22" s="54">
        <f>L22</f>
        <v>0.86</v>
      </c>
      <c r="O22" s="25" t="s">
        <v>11</v>
      </c>
      <c r="P22" s="21">
        <f t="shared" si="2"/>
        <v>2.15</v>
      </c>
      <c r="Q22" s="26"/>
      <c r="R22" s="13">
        <f>M9+M22</f>
        <v>2.15</v>
      </c>
    </row>
    <row r="23" spans="1:18" x14ac:dyDescent="0.25">
      <c r="A23" s="65" t="s">
        <v>8</v>
      </c>
      <c r="B23" s="44">
        <v>1.95</v>
      </c>
      <c r="C23" s="44">
        <v>1.66</v>
      </c>
      <c r="D23" s="44">
        <v>0.13</v>
      </c>
      <c r="E23" s="44">
        <v>0.1</v>
      </c>
      <c r="F23" s="45">
        <f t="shared" si="1"/>
        <v>6.0869445111917501E-4</v>
      </c>
      <c r="G23" s="45">
        <f t="shared" si="1"/>
        <v>3.3655986084177601E-4</v>
      </c>
      <c r="H23" s="46">
        <v>45</v>
      </c>
      <c r="I23" s="47">
        <f>(F23/(F23+G23))*H23</f>
        <v>28.977651785093812</v>
      </c>
      <c r="J23" s="47">
        <f>(G23/(F23+G23))*H23</f>
        <v>16.022348214906188</v>
      </c>
      <c r="K23" s="48">
        <f>D23*I23</f>
        <v>3.7670947320621955</v>
      </c>
      <c r="L23" s="48">
        <f>E23*J23</f>
        <v>1.6022348214906188</v>
      </c>
      <c r="M23" s="54">
        <f>K23+L23</f>
        <v>5.3693295535528147</v>
      </c>
      <c r="O23" s="25" t="s">
        <v>8</v>
      </c>
      <c r="P23" s="21">
        <f t="shared" si="2"/>
        <v>11.928435624956567</v>
      </c>
      <c r="Q23" s="26"/>
      <c r="R23" s="13">
        <f>M10+M23</f>
        <v>11.928435624956567</v>
      </c>
    </row>
    <row r="24" spans="1:18" ht="17.100000000000001" customHeight="1" x14ac:dyDescent="0.25">
      <c r="A24" s="65" t="s">
        <v>9</v>
      </c>
      <c r="B24" s="44">
        <v>1.43</v>
      </c>
      <c r="C24" s="44">
        <v>1.78</v>
      </c>
      <c r="D24" s="44">
        <v>7.0000000000000007E-2</v>
      </c>
      <c r="E24" s="44">
        <v>0.13</v>
      </c>
      <c r="F24" s="45">
        <f t="shared" si="1"/>
        <v>2.5414263168568801E-2</v>
      </c>
      <c r="G24" s="45">
        <f t="shared" si="1"/>
        <v>6.4630730381549498E-2</v>
      </c>
      <c r="H24" s="46">
        <v>352</v>
      </c>
      <c r="I24" s="47">
        <f>(F24/(F24+G24))*H24</f>
        <v>99.348340009120534</v>
      </c>
      <c r="J24" s="47">
        <f>(G24/(F24+G24))*H24</f>
        <v>252.65165999087947</v>
      </c>
      <c r="K24" s="48">
        <f>D24*I24</f>
        <v>6.9543838006384382</v>
      </c>
      <c r="L24" s="48">
        <f>E24*J24</f>
        <v>32.844715798814335</v>
      </c>
      <c r="M24" s="54">
        <f>K24+L24</f>
        <v>39.799099599452774</v>
      </c>
      <c r="O24" s="25" t="s">
        <v>9</v>
      </c>
      <c r="P24" s="21">
        <f t="shared" si="2"/>
        <v>64.439099599452774</v>
      </c>
      <c r="Q24" s="26"/>
      <c r="R24" s="13">
        <f>M11+M24</f>
        <v>64.439099599452774</v>
      </c>
    </row>
    <row r="25" spans="1:18" ht="12" customHeight="1" thickBot="1" x14ac:dyDescent="0.3">
      <c r="A25" s="55"/>
      <c r="B25" s="56"/>
      <c r="C25" s="56"/>
      <c r="D25" s="56"/>
      <c r="E25" s="56"/>
      <c r="F25" s="56"/>
      <c r="G25" s="56"/>
      <c r="H25" s="58">
        <f t="shared" ref="H25:M25" si="3">SUM(H19:H24)</f>
        <v>10631</v>
      </c>
      <c r="I25" s="58">
        <f t="shared" si="3"/>
        <v>5663.8962031626297</v>
      </c>
      <c r="J25" s="58">
        <f t="shared" si="3"/>
        <v>4967.1037968373694</v>
      </c>
      <c r="K25" s="58">
        <f t="shared" si="3"/>
        <v>1960.8262716651052</v>
      </c>
      <c r="L25" s="58">
        <f t="shared" si="3"/>
        <v>2189.5730472360187</v>
      </c>
      <c r="M25" s="58">
        <f t="shared" si="3"/>
        <v>4150.3993189011235</v>
      </c>
      <c r="O25" s="27" t="s">
        <v>16</v>
      </c>
      <c r="P25" s="28">
        <f t="shared" si="2"/>
        <v>6202.8564780296274</v>
      </c>
      <c r="Q25" s="29" t="s">
        <v>18</v>
      </c>
      <c r="R25" s="123">
        <f>M12+M25</f>
        <v>6202.8564780296274</v>
      </c>
    </row>
    <row r="26" spans="1:18" ht="15.75" thickBot="1" x14ac:dyDescent="0.3"/>
    <row r="27" spans="1:18" ht="15.75" x14ac:dyDescent="0.25">
      <c r="A27" s="66" t="s">
        <v>13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0"/>
    </row>
    <row r="28" spans="1:18" ht="21" customHeight="1" x14ac:dyDescent="0.25">
      <c r="A28" s="101"/>
      <c r="B28" s="97" t="s">
        <v>17</v>
      </c>
      <c r="C28" s="97"/>
      <c r="D28" s="97" t="s">
        <v>54</v>
      </c>
      <c r="E28" s="97"/>
      <c r="F28" s="111" t="s">
        <v>81</v>
      </c>
      <c r="G28" s="97" t="s">
        <v>52</v>
      </c>
      <c r="H28" s="97"/>
      <c r="I28" s="97" t="s">
        <v>57</v>
      </c>
      <c r="J28" s="102" t="s">
        <v>58</v>
      </c>
    </row>
    <row r="29" spans="1:18" ht="11.45" customHeight="1" x14ac:dyDescent="0.25">
      <c r="A29" s="101"/>
      <c r="B29" s="97"/>
      <c r="C29" s="97"/>
      <c r="D29" s="97"/>
      <c r="E29" s="97"/>
      <c r="F29" s="112"/>
      <c r="G29" s="97"/>
      <c r="H29" s="97"/>
      <c r="I29" s="97"/>
      <c r="J29" s="103"/>
    </row>
    <row r="30" spans="1:18" ht="14.1" customHeight="1" x14ac:dyDescent="0.25">
      <c r="A30" s="101"/>
      <c r="B30" s="97"/>
      <c r="C30" s="97"/>
      <c r="D30" s="97"/>
      <c r="E30" s="97"/>
      <c r="F30" s="112"/>
      <c r="G30" s="97"/>
      <c r="H30" s="97"/>
      <c r="I30" s="97"/>
      <c r="J30" s="103"/>
    </row>
    <row r="31" spans="1:18" ht="23.25" customHeight="1" x14ac:dyDescent="0.25">
      <c r="A31" s="51" t="s">
        <v>0</v>
      </c>
      <c r="B31" s="43" t="s">
        <v>1</v>
      </c>
      <c r="C31" s="43" t="s">
        <v>2</v>
      </c>
      <c r="D31" s="43" t="s">
        <v>1</v>
      </c>
      <c r="E31" s="43" t="s">
        <v>2</v>
      </c>
      <c r="F31" s="113"/>
      <c r="G31" s="43" t="s">
        <v>1</v>
      </c>
      <c r="H31" s="43" t="s">
        <v>2</v>
      </c>
      <c r="I31" s="42"/>
      <c r="J31" s="104"/>
    </row>
    <row r="32" spans="1:18" x14ac:dyDescent="0.25">
      <c r="A32" s="65" t="s">
        <v>5</v>
      </c>
      <c r="B32" s="49">
        <v>1.29</v>
      </c>
      <c r="C32" s="49">
        <v>1.8</v>
      </c>
      <c r="D32" s="44">
        <v>0.1</v>
      </c>
      <c r="E32" s="44">
        <v>0.16</v>
      </c>
      <c r="F32" s="44">
        <f>(0.842*D32)+(0.158*E32)</f>
        <v>0.10947999999999999</v>
      </c>
      <c r="G32" s="45">
        <f>F19</f>
        <v>2.9763653716087E-2</v>
      </c>
      <c r="H32" s="45">
        <f>G19</f>
        <v>1.6759607424553499E-2</v>
      </c>
      <c r="I32" s="46">
        <v>1518</v>
      </c>
      <c r="J32" s="54">
        <f>I32*F32</f>
        <v>166.19064</v>
      </c>
    </row>
    <row r="33" spans="1:17" x14ac:dyDescent="0.25">
      <c r="A33" s="65" t="s">
        <v>6</v>
      </c>
      <c r="B33" s="49">
        <v>1.23</v>
      </c>
      <c r="C33" s="49">
        <v>1.1499999999999999</v>
      </c>
      <c r="D33" s="44">
        <v>0.08</v>
      </c>
      <c r="E33" s="44">
        <v>0.04</v>
      </c>
      <c r="F33" s="44">
        <f>(0.842*D33)+(0.158*E33)</f>
        <v>7.3680000000000009E-2</v>
      </c>
      <c r="G33" s="45">
        <f>F20</f>
        <v>1.2787662816608999E-2</v>
      </c>
      <c r="H33" s="45">
        <f>G20</f>
        <v>1.55784847726608E-2</v>
      </c>
      <c r="I33" s="46">
        <v>855</v>
      </c>
      <c r="J33" s="54">
        <f>I33*F33</f>
        <v>62.996400000000008</v>
      </c>
    </row>
    <row r="34" spans="1:17" x14ac:dyDescent="0.25">
      <c r="A34" s="65" t="s">
        <v>10</v>
      </c>
      <c r="B34" s="49">
        <v>2.4</v>
      </c>
      <c r="C34" s="49">
        <v>3.92</v>
      </c>
      <c r="D34" s="44">
        <v>0.22</v>
      </c>
      <c r="E34" s="44">
        <v>0.23</v>
      </c>
      <c r="F34" s="44">
        <f>(0.842*D34)+(0.158*E34)</f>
        <v>0.22158</v>
      </c>
      <c r="G34" s="45">
        <f>F21</f>
        <v>7.7837319776146802E-2</v>
      </c>
      <c r="H34" s="45">
        <f>G21</f>
        <v>6.4630730381549498E-2</v>
      </c>
      <c r="I34" s="72">
        <v>2226</v>
      </c>
      <c r="J34" s="54">
        <f>I34*F34</f>
        <v>493.23707999999999</v>
      </c>
    </row>
    <row r="35" spans="1:17" x14ac:dyDescent="0.25">
      <c r="A35" s="65" t="s">
        <v>11</v>
      </c>
      <c r="B35" s="49" t="s">
        <v>7</v>
      </c>
      <c r="C35" s="49">
        <v>1.08</v>
      </c>
      <c r="D35" s="44" t="s">
        <v>7</v>
      </c>
      <c r="E35" s="44">
        <v>0.03</v>
      </c>
      <c r="F35" s="44">
        <f>(0.842*0)+(0.158*E35)</f>
        <v>4.7400000000000003E-3</v>
      </c>
      <c r="G35" s="45">
        <f>F22</f>
        <v>1.83044303171544E-5</v>
      </c>
      <c r="H35" s="45">
        <f>G22</f>
        <v>3.2451662713967599E-3</v>
      </c>
      <c r="I35" s="46">
        <v>219</v>
      </c>
      <c r="J35" s="54">
        <f>I35*F35</f>
        <v>1.03806</v>
      </c>
    </row>
    <row r="36" spans="1:17" x14ac:dyDescent="0.25">
      <c r="A36" s="65" t="s">
        <v>8</v>
      </c>
      <c r="B36" s="49">
        <v>1.51</v>
      </c>
      <c r="C36" s="49">
        <v>1.45</v>
      </c>
      <c r="D36" s="44">
        <v>0.16</v>
      </c>
      <c r="E36" s="44">
        <v>0.12</v>
      </c>
      <c r="F36" s="44">
        <f>(0.842*D36)+(0.158*E36)</f>
        <v>0.15368000000000001</v>
      </c>
      <c r="G36" s="45">
        <f>F23</f>
        <v>6.0869445111917501E-4</v>
      </c>
      <c r="H36" s="45">
        <f>G23</f>
        <v>3.3655986084177601E-4</v>
      </c>
      <c r="I36" s="46">
        <v>78</v>
      </c>
      <c r="J36" s="54">
        <f>I36*F36</f>
        <v>11.98704</v>
      </c>
    </row>
    <row r="37" spans="1:17" x14ac:dyDescent="0.25">
      <c r="A37" s="53" t="s">
        <v>9</v>
      </c>
      <c r="B37" s="67">
        <v>1.2</v>
      </c>
      <c r="C37" s="67">
        <v>1.25</v>
      </c>
      <c r="D37" s="70">
        <v>7.0000000000000007E-2</v>
      </c>
      <c r="E37" s="70">
        <v>7.0000000000000007E-2</v>
      </c>
      <c r="F37" s="44">
        <f>(0.842*D37)+(0.158*E37)</f>
        <v>7.0000000000000007E-2</v>
      </c>
      <c r="G37" s="45">
        <f>F24</f>
        <v>2.5414263168568801E-2</v>
      </c>
      <c r="H37" s="45">
        <f>G24</f>
        <v>6.4630730381549498E-2</v>
      </c>
      <c r="I37" s="68">
        <v>1857</v>
      </c>
      <c r="J37" s="54">
        <f>I37*F37</f>
        <v>129.99</v>
      </c>
    </row>
    <row r="38" spans="1:17" ht="14.45" customHeight="1" thickBot="1" x14ac:dyDescent="0.3">
      <c r="A38" s="55"/>
      <c r="B38" s="56"/>
      <c r="C38" s="56"/>
      <c r="D38" s="56"/>
      <c r="E38" s="56"/>
      <c r="F38" s="56"/>
      <c r="G38" s="56"/>
      <c r="H38" s="56"/>
      <c r="I38" s="57"/>
      <c r="J38" s="58">
        <f>SUM(J32:J37)</f>
        <v>865.43921999999998</v>
      </c>
    </row>
    <row r="39" spans="1:17" ht="15.75" thickBot="1" x14ac:dyDescent="0.3">
      <c r="K39" s="10"/>
      <c r="L39" s="10"/>
      <c r="M39" s="10"/>
    </row>
    <row r="40" spans="1:17" ht="16.5" thickBot="1" x14ac:dyDescent="0.3">
      <c r="A40" s="99" t="s">
        <v>14</v>
      </c>
      <c r="B40" s="100"/>
      <c r="C40" s="100"/>
      <c r="D40" s="100"/>
      <c r="E40" s="32"/>
      <c r="F40" s="32"/>
      <c r="G40" s="32"/>
      <c r="H40" s="32"/>
      <c r="I40" s="36"/>
      <c r="J40" s="34"/>
      <c r="K40" s="33"/>
      <c r="L40" s="33"/>
      <c r="M40" s="33"/>
      <c r="N40" s="33"/>
    </row>
    <row r="41" spans="1:17" ht="21" customHeight="1" x14ac:dyDescent="0.25">
      <c r="A41" s="101"/>
      <c r="B41" s="97" t="s">
        <v>17</v>
      </c>
      <c r="C41" s="97"/>
      <c r="D41" s="97" t="s">
        <v>54</v>
      </c>
      <c r="E41" s="97"/>
      <c r="F41" s="111" t="s">
        <v>81</v>
      </c>
      <c r="G41" s="97" t="s">
        <v>52</v>
      </c>
      <c r="H41" s="97"/>
      <c r="I41" s="97" t="s">
        <v>57</v>
      </c>
      <c r="J41" s="96" t="s">
        <v>56</v>
      </c>
      <c r="L41" s="23" t="s">
        <v>29</v>
      </c>
      <c r="M41" s="24"/>
      <c r="N41" s="74"/>
      <c r="O41" s="10"/>
    </row>
    <row r="42" spans="1:17" ht="11.45" customHeight="1" x14ac:dyDescent="0.25">
      <c r="A42" s="101"/>
      <c r="B42" s="97"/>
      <c r="C42" s="97"/>
      <c r="D42" s="97"/>
      <c r="E42" s="97"/>
      <c r="F42" s="112"/>
      <c r="G42" s="97"/>
      <c r="H42" s="97"/>
      <c r="I42" s="97"/>
      <c r="J42" s="96"/>
      <c r="L42" s="25" t="s">
        <v>5</v>
      </c>
      <c r="M42" s="124">
        <f>J32+J45</f>
        <v>366.74879999999996</v>
      </c>
      <c r="N42" s="74"/>
      <c r="O42" s="10"/>
    </row>
    <row r="43" spans="1:17" ht="30.75" customHeight="1" x14ac:dyDescent="0.25">
      <c r="A43" s="101"/>
      <c r="B43" s="97"/>
      <c r="C43" s="97"/>
      <c r="D43" s="97"/>
      <c r="E43" s="97"/>
      <c r="F43" s="112"/>
      <c r="G43" s="97"/>
      <c r="H43" s="97"/>
      <c r="I43" s="97"/>
      <c r="J43" s="96"/>
      <c r="L43" s="25" t="s">
        <v>6</v>
      </c>
      <c r="M43" s="124">
        <f>J33+J46</f>
        <v>132.7473</v>
      </c>
      <c r="N43" s="74"/>
      <c r="O43" s="10"/>
    </row>
    <row r="44" spans="1:17" x14ac:dyDescent="0.25">
      <c r="A44" s="51" t="s">
        <v>0</v>
      </c>
      <c r="B44" s="43" t="s">
        <v>1</v>
      </c>
      <c r="C44" s="43" t="s">
        <v>2</v>
      </c>
      <c r="D44" s="43" t="s">
        <v>1</v>
      </c>
      <c r="E44" s="43" t="s">
        <v>2</v>
      </c>
      <c r="F44" s="113"/>
      <c r="G44" s="43" t="s">
        <v>1</v>
      </c>
      <c r="H44" s="43" t="s">
        <v>2</v>
      </c>
      <c r="I44" s="42"/>
      <c r="J44" s="52"/>
      <c r="L44" s="25" t="s">
        <v>10</v>
      </c>
      <c r="M44" s="124">
        <f>J34+J47</f>
        <v>1451.6191199999998</v>
      </c>
      <c r="N44" s="74"/>
      <c r="O44" s="10"/>
    </row>
    <row r="45" spans="1:17" x14ac:dyDescent="0.25">
      <c r="A45" s="65" t="s">
        <v>5</v>
      </c>
      <c r="B45" s="44">
        <v>1.72</v>
      </c>
      <c r="C45" s="44">
        <v>3.1</v>
      </c>
      <c r="D45" s="44">
        <v>0.11</v>
      </c>
      <c r="E45" s="44">
        <v>0.25</v>
      </c>
      <c r="F45" s="44">
        <f>(0.842*D45)+(0.158*E45)</f>
        <v>0.13211999999999999</v>
      </c>
      <c r="G45" s="45">
        <f t="shared" ref="G45:H50" si="4">G32</f>
        <v>2.9763653716087E-2</v>
      </c>
      <c r="H45" s="45">
        <f t="shared" si="4"/>
        <v>1.6759607424553499E-2</v>
      </c>
      <c r="I45" s="46">
        <v>1518</v>
      </c>
      <c r="J45" s="54">
        <f>F45*I45</f>
        <v>200.55815999999999</v>
      </c>
      <c r="L45" s="25" t="s">
        <v>11</v>
      </c>
      <c r="M45" s="124">
        <f>J35+J48</f>
        <v>1.7301</v>
      </c>
      <c r="N45" s="74"/>
      <c r="O45" s="12"/>
      <c r="P45" s="1" t="e">
        <f>#REF!+#REF!</f>
        <v>#REF!</v>
      </c>
      <c r="Q45" s="1">
        <f>J32+J45</f>
        <v>366.74879999999996</v>
      </c>
    </row>
    <row r="46" spans="1:17" x14ac:dyDescent="0.25">
      <c r="A46" s="65" t="s">
        <v>6</v>
      </c>
      <c r="B46" s="44">
        <v>1.51</v>
      </c>
      <c r="C46" s="44">
        <v>1.49</v>
      </c>
      <c r="D46" s="44">
        <v>0.08</v>
      </c>
      <c r="E46" s="44">
        <v>0.09</v>
      </c>
      <c r="F46" s="44">
        <f>(0.842*D46)+(0.158*E46)</f>
        <v>8.158E-2</v>
      </c>
      <c r="G46" s="45">
        <f t="shared" si="4"/>
        <v>1.2787662816608999E-2</v>
      </c>
      <c r="H46" s="45">
        <f t="shared" si="4"/>
        <v>1.55784847726608E-2</v>
      </c>
      <c r="I46" s="46">
        <v>855</v>
      </c>
      <c r="J46" s="54">
        <f>F46*I46</f>
        <v>69.750900000000001</v>
      </c>
      <c r="L46" s="25" t="s">
        <v>8</v>
      </c>
      <c r="M46" s="124">
        <f>J36+J49</f>
        <v>21.75732</v>
      </c>
      <c r="N46" s="74"/>
      <c r="O46" s="12"/>
      <c r="P46" s="1" t="e">
        <f>#REF!+#REF!</f>
        <v>#REF!</v>
      </c>
      <c r="Q46" s="1">
        <f>J33+J46</f>
        <v>132.7473</v>
      </c>
    </row>
    <row r="47" spans="1:17" x14ac:dyDescent="0.25">
      <c r="A47" s="65" t="s">
        <v>10</v>
      </c>
      <c r="B47" s="44">
        <v>6.74</v>
      </c>
      <c r="C47" s="44">
        <v>12.41</v>
      </c>
      <c r="D47" s="44">
        <v>0.41</v>
      </c>
      <c r="E47" s="44">
        <v>0.54</v>
      </c>
      <c r="F47" s="44">
        <f>(0.842*D47)+(0.158*E47)</f>
        <v>0.43053999999999998</v>
      </c>
      <c r="G47" s="45">
        <f t="shared" si="4"/>
        <v>7.7837319776146802E-2</v>
      </c>
      <c r="H47" s="45">
        <f t="shared" si="4"/>
        <v>6.4630730381549498E-2</v>
      </c>
      <c r="I47" s="72">
        <v>2226</v>
      </c>
      <c r="J47" s="54">
        <f>F47*I47</f>
        <v>958.38203999999996</v>
      </c>
      <c r="L47" s="25" t="s">
        <v>9</v>
      </c>
      <c r="M47" s="124">
        <f>J37+J50</f>
        <v>277.58436000000006</v>
      </c>
      <c r="N47" s="74"/>
      <c r="O47" s="12"/>
      <c r="P47" s="1" t="e">
        <f>#REF!+#REF!</f>
        <v>#REF!</v>
      </c>
      <c r="Q47" s="1">
        <f>J34+J47</f>
        <v>1451.6191199999998</v>
      </c>
    </row>
    <row r="48" spans="1:17" ht="15.75" thickBot="1" x14ac:dyDescent="0.3">
      <c r="A48" s="65" t="s">
        <v>11</v>
      </c>
      <c r="B48" s="44" t="s">
        <v>7</v>
      </c>
      <c r="C48" s="44">
        <v>1.1299999999999999</v>
      </c>
      <c r="D48" s="44" t="s">
        <v>7</v>
      </c>
      <c r="E48" s="44">
        <v>0.02</v>
      </c>
      <c r="F48" s="44">
        <f>(0.842*0)+(0.158*E48)</f>
        <v>3.16E-3</v>
      </c>
      <c r="G48" s="45">
        <f t="shared" si="4"/>
        <v>1.83044303171544E-5</v>
      </c>
      <c r="H48" s="45">
        <f t="shared" si="4"/>
        <v>3.2451662713967599E-3</v>
      </c>
      <c r="I48" s="46">
        <v>219</v>
      </c>
      <c r="J48" s="54">
        <f>F48*I48</f>
        <v>0.69203999999999999</v>
      </c>
      <c r="L48" s="27" t="s">
        <v>19</v>
      </c>
      <c r="M48" s="125">
        <f>J38+J51</f>
        <v>2252.1869999999999</v>
      </c>
      <c r="N48" s="74"/>
      <c r="O48" s="12"/>
      <c r="P48" s="1" t="e">
        <f>#REF!+#REF!</f>
        <v>#REF!</v>
      </c>
      <c r="Q48" s="1">
        <f>J35+J48</f>
        <v>1.7301</v>
      </c>
    </row>
    <row r="49" spans="1:17" x14ac:dyDescent="0.25">
      <c r="A49" s="65" t="s">
        <v>8</v>
      </c>
      <c r="B49" s="44">
        <v>1.95</v>
      </c>
      <c r="C49" s="44">
        <v>1.66</v>
      </c>
      <c r="D49" s="44">
        <v>0.13</v>
      </c>
      <c r="E49" s="44">
        <v>0.1</v>
      </c>
      <c r="F49" s="44">
        <f>(0.842*D49)+(0.158*E49)</f>
        <v>0.12526000000000001</v>
      </c>
      <c r="G49" s="45">
        <f t="shared" si="4"/>
        <v>6.0869445111917501E-4</v>
      </c>
      <c r="H49" s="45">
        <f t="shared" si="4"/>
        <v>3.3655986084177601E-4</v>
      </c>
      <c r="I49" s="46">
        <v>78</v>
      </c>
      <c r="J49" s="54">
        <f>F49*I49</f>
        <v>9.7702800000000014</v>
      </c>
      <c r="O49" s="1"/>
      <c r="P49" s="1" t="e">
        <f>#REF!+#REF!</f>
        <v>#REF!</v>
      </c>
      <c r="Q49" s="1">
        <f>J36+J49</f>
        <v>21.75732</v>
      </c>
    </row>
    <row r="50" spans="1:17" x14ac:dyDescent="0.25">
      <c r="A50" s="53" t="s">
        <v>9</v>
      </c>
      <c r="B50" s="44">
        <v>1.43</v>
      </c>
      <c r="C50" s="44">
        <v>1.78</v>
      </c>
      <c r="D50" s="44">
        <v>7.0000000000000007E-2</v>
      </c>
      <c r="E50" s="44">
        <v>0.13</v>
      </c>
      <c r="F50" s="44">
        <f>(0.842*D50)+(0.158*E50)</f>
        <v>7.9480000000000009E-2</v>
      </c>
      <c r="G50" s="45">
        <f t="shared" si="4"/>
        <v>2.5414263168568801E-2</v>
      </c>
      <c r="H50" s="45">
        <f t="shared" si="4"/>
        <v>6.4630730381549498E-2</v>
      </c>
      <c r="I50" s="68">
        <v>1857</v>
      </c>
      <c r="J50" s="54">
        <f>F50*I50</f>
        <v>147.59436000000002</v>
      </c>
      <c r="O50" s="1"/>
      <c r="P50" s="1" t="e">
        <f>#REF!+#REF!</f>
        <v>#REF!</v>
      </c>
      <c r="Q50" s="1">
        <f>J37+J50</f>
        <v>277.58436000000006</v>
      </c>
    </row>
    <row r="51" spans="1:17" ht="14.45" customHeight="1" thickBot="1" x14ac:dyDescent="0.3">
      <c r="A51" s="55"/>
      <c r="B51" s="56"/>
      <c r="C51" s="56"/>
      <c r="D51" s="56"/>
      <c r="E51" s="56"/>
      <c r="F51" s="56"/>
      <c r="G51" s="56"/>
      <c r="H51" s="56"/>
      <c r="I51" s="57"/>
      <c r="J51" s="126">
        <f>SUM(J45:J50)</f>
        <v>1386.7477799999999</v>
      </c>
      <c r="O51" s="1"/>
      <c r="P51" s="1" t="e">
        <f>#REF!+#REF!</f>
        <v>#REF!</v>
      </c>
      <c r="Q51" s="1">
        <f>J38+J51</f>
        <v>2252.1869999999999</v>
      </c>
    </row>
    <row r="52" spans="1:17" ht="14.45" customHeight="1" thickBot="1" x14ac:dyDescent="0.3">
      <c r="A52" s="33"/>
      <c r="B52" s="33"/>
      <c r="C52" s="33"/>
      <c r="D52" s="33"/>
      <c r="E52" s="33"/>
      <c r="F52" s="33"/>
      <c r="G52" s="33"/>
      <c r="H52" s="33"/>
      <c r="I52" s="37"/>
      <c r="J52" s="33"/>
      <c r="K52" s="33"/>
      <c r="L52" s="33"/>
      <c r="M52" s="33"/>
      <c r="N52" s="39"/>
    </row>
    <row r="53" spans="1:17" ht="15.75" x14ac:dyDescent="0.25">
      <c r="A53" s="66" t="s">
        <v>15</v>
      </c>
      <c r="B53" s="5"/>
      <c r="C53" s="5"/>
      <c r="D53" s="5"/>
      <c r="E53" s="5"/>
      <c r="F53" s="5"/>
      <c r="G53" s="5"/>
      <c r="H53" s="5"/>
      <c r="I53" s="5"/>
      <c r="J53" s="5"/>
      <c r="K53" s="10"/>
      <c r="L53" s="10"/>
      <c r="M53" s="10"/>
      <c r="N53" s="10"/>
    </row>
    <row r="54" spans="1:17" ht="21" customHeight="1" x14ac:dyDescent="0.25">
      <c r="A54" s="101"/>
      <c r="B54" s="97" t="s">
        <v>17</v>
      </c>
      <c r="C54" s="97"/>
      <c r="D54" s="97" t="s">
        <v>54</v>
      </c>
      <c r="E54" s="97"/>
      <c r="F54" s="111" t="s">
        <v>81</v>
      </c>
      <c r="G54" s="97" t="s">
        <v>52</v>
      </c>
      <c r="H54" s="97"/>
      <c r="I54" s="97" t="s">
        <v>66</v>
      </c>
      <c r="J54" s="96" t="s">
        <v>67</v>
      </c>
      <c r="L54" s="10"/>
      <c r="M54" s="10"/>
      <c r="N54" s="10"/>
    </row>
    <row r="55" spans="1:17" ht="12.6" customHeight="1" x14ac:dyDescent="0.25">
      <c r="A55" s="101"/>
      <c r="B55" s="97"/>
      <c r="C55" s="97"/>
      <c r="D55" s="97"/>
      <c r="E55" s="97"/>
      <c r="F55" s="112"/>
      <c r="G55" s="97"/>
      <c r="H55" s="97"/>
      <c r="I55" s="97"/>
      <c r="J55" s="96"/>
      <c r="L55" s="10"/>
      <c r="M55" s="10"/>
      <c r="N55" s="10"/>
    </row>
    <row r="56" spans="1:17" ht="17.100000000000001" customHeight="1" x14ac:dyDescent="0.25">
      <c r="A56" s="101"/>
      <c r="B56" s="97"/>
      <c r="C56" s="97"/>
      <c r="D56" s="97"/>
      <c r="E56" s="97"/>
      <c r="F56" s="112"/>
      <c r="G56" s="97"/>
      <c r="H56" s="97"/>
      <c r="I56" s="97"/>
      <c r="J56" s="96"/>
      <c r="L56" s="10"/>
      <c r="M56" s="10"/>
      <c r="N56" s="10"/>
    </row>
    <row r="57" spans="1:17" x14ac:dyDescent="0.25">
      <c r="A57" s="51" t="s">
        <v>0</v>
      </c>
      <c r="B57" s="43" t="s">
        <v>1</v>
      </c>
      <c r="C57" s="43" t="s">
        <v>2</v>
      </c>
      <c r="D57" s="43" t="s">
        <v>1</v>
      </c>
      <c r="E57" s="43" t="s">
        <v>2</v>
      </c>
      <c r="F57" s="113"/>
      <c r="G57" s="43" t="s">
        <v>1</v>
      </c>
      <c r="H57" s="43" t="s">
        <v>2</v>
      </c>
      <c r="I57" s="42"/>
      <c r="J57" s="52"/>
      <c r="L57" s="74"/>
      <c r="M57" s="74"/>
      <c r="N57" s="74"/>
    </row>
    <row r="58" spans="1:17" x14ac:dyDescent="0.25">
      <c r="A58" s="53" t="s">
        <v>5</v>
      </c>
      <c r="B58" s="70">
        <v>1.29</v>
      </c>
      <c r="C58" s="70">
        <v>1.8</v>
      </c>
      <c r="D58" s="70">
        <v>0.1</v>
      </c>
      <c r="E58" s="70">
        <v>0.16</v>
      </c>
      <c r="F58" s="44">
        <f>(0.842*D58)+(0.158*E58)</f>
        <v>0.10947999999999999</v>
      </c>
      <c r="G58" s="45">
        <f t="shared" ref="G58:H63" si="5">G45</f>
        <v>2.9763653716087E-2</v>
      </c>
      <c r="H58" s="45">
        <f t="shared" si="5"/>
        <v>1.6759607424553499E-2</v>
      </c>
      <c r="I58" s="68">
        <v>3686</v>
      </c>
      <c r="J58" s="69">
        <f>F58*I58</f>
        <v>403.54327999999998</v>
      </c>
      <c r="L58" s="10"/>
      <c r="M58" s="10"/>
      <c r="N58" s="10"/>
    </row>
    <row r="59" spans="1:17" x14ac:dyDescent="0.25">
      <c r="A59" s="53" t="s">
        <v>6</v>
      </c>
      <c r="B59" s="70">
        <v>1.23</v>
      </c>
      <c r="C59" s="70">
        <v>1.1499999999999999</v>
      </c>
      <c r="D59" s="70">
        <v>0.08</v>
      </c>
      <c r="E59" s="70">
        <v>0.04</v>
      </c>
      <c r="F59" s="44">
        <f>(0.842*D59)+(0.158*E59)</f>
        <v>7.3680000000000009E-2</v>
      </c>
      <c r="G59" s="45">
        <f t="shared" si="5"/>
        <v>1.2787662816608999E-2</v>
      </c>
      <c r="H59" s="45">
        <f t="shared" si="5"/>
        <v>1.55784847726608E-2</v>
      </c>
      <c r="I59" s="68">
        <v>2077</v>
      </c>
      <c r="J59" s="69">
        <f>F59*I59</f>
        <v>153.03336000000002</v>
      </c>
      <c r="L59" s="10"/>
      <c r="M59" s="10"/>
      <c r="N59" s="10"/>
    </row>
    <row r="60" spans="1:17" x14ac:dyDescent="0.25">
      <c r="A60" s="53" t="s">
        <v>10</v>
      </c>
      <c r="B60" s="70">
        <v>2.4</v>
      </c>
      <c r="C60" s="70">
        <v>3.92</v>
      </c>
      <c r="D60" s="70">
        <v>0.22</v>
      </c>
      <c r="E60" s="70">
        <v>0.23</v>
      </c>
      <c r="F60" s="44">
        <f>(0.842*D60)+(0.158*E60)</f>
        <v>0.22158</v>
      </c>
      <c r="G60" s="45">
        <f t="shared" si="5"/>
        <v>7.7837319776146802E-2</v>
      </c>
      <c r="H60" s="45">
        <f t="shared" si="5"/>
        <v>6.4630730381549498E-2</v>
      </c>
      <c r="I60" s="73">
        <v>31725</v>
      </c>
      <c r="J60" s="69">
        <f>F60*I60</f>
        <v>7029.6255000000001</v>
      </c>
      <c r="L60" s="10"/>
      <c r="M60" s="10"/>
      <c r="N60" s="10"/>
    </row>
    <row r="61" spans="1:17" x14ac:dyDescent="0.25">
      <c r="A61" s="53" t="s">
        <v>11</v>
      </c>
      <c r="B61" s="44" t="s">
        <v>7</v>
      </c>
      <c r="C61" s="44">
        <v>1.08</v>
      </c>
      <c r="D61" s="44" t="s">
        <v>7</v>
      </c>
      <c r="E61" s="44">
        <v>0.03</v>
      </c>
      <c r="F61" s="44">
        <f>(0.842*0)+(0.158*E61)</f>
        <v>4.7400000000000003E-3</v>
      </c>
      <c r="G61" s="45">
        <f t="shared" si="5"/>
        <v>1.83044303171544E-5</v>
      </c>
      <c r="H61" s="45">
        <f t="shared" si="5"/>
        <v>3.2451662713967599E-3</v>
      </c>
      <c r="I61" s="46">
        <v>265</v>
      </c>
      <c r="J61" s="69">
        <f>F61*I61</f>
        <v>1.2561</v>
      </c>
      <c r="L61" s="10"/>
      <c r="M61" s="10"/>
      <c r="N61" s="10"/>
    </row>
    <row r="62" spans="1:17" x14ac:dyDescent="0.25">
      <c r="A62" s="53" t="s">
        <v>8</v>
      </c>
      <c r="B62" s="44">
        <v>1.51</v>
      </c>
      <c r="C62" s="44">
        <v>1.45</v>
      </c>
      <c r="D62" s="44">
        <v>0.16</v>
      </c>
      <c r="E62" s="44">
        <v>0.12</v>
      </c>
      <c r="F62" s="44">
        <f>(0.842*D62)+(0.158*E62)</f>
        <v>0.15368000000000001</v>
      </c>
      <c r="G62" s="45">
        <f t="shared" si="5"/>
        <v>6.0869445111917501E-4</v>
      </c>
      <c r="H62" s="45">
        <f t="shared" si="5"/>
        <v>3.3655986084177601E-4</v>
      </c>
      <c r="I62" s="46">
        <v>95</v>
      </c>
      <c r="J62" s="69">
        <f>F62*I62</f>
        <v>14.599600000000001</v>
      </c>
      <c r="L62" s="10"/>
      <c r="M62" s="10"/>
      <c r="N62" s="10"/>
    </row>
    <row r="63" spans="1:17" x14ac:dyDescent="0.25">
      <c r="A63" s="53" t="s">
        <v>9</v>
      </c>
      <c r="B63" s="70">
        <v>1.2</v>
      </c>
      <c r="C63" s="70">
        <v>1.25</v>
      </c>
      <c r="D63" s="70">
        <v>7.0000000000000007E-2</v>
      </c>
      <c r="E63" s="70">
        <v>7.0000000000000007E-2</v>
      </c>
      <c r="F63" s="44">
        <f>(0.842*D63)+(0.158*E63)</f>
        <v>7.0000000000000007E-2</v>
      </c>
      <c r="G63" s="45">
        <f t="shared" si="5"/>
        <v>2.5414263168568801E-2</v>
      </c>
      <c r="H63" s="45">
        <f t="shared" si="5"/>
        <v>6.4630730381549498E-2</v>
      </c>
      <c r="I63" s="68">
        <v>4085</v>
      </c>
      <c r="J63" s="69">
        <f>F63*I63</f>
        <v>285.95000000000005</v>
      </c>
      <c r="L63" s="10"/>
      <c r="M63" s="10"/>
      <c r="N63" s="10"/>
    </row>
    <row r="64" spans="1:17" ht="15.75" thickBot="1" x14ac:dyDescent="0.3">
      <c r="A64" s="55"/>
      <c r="B64" s="56"/>
      <c r="C64" s="56"/>
      <c r="D64" s="56"/>
      <c r="E64" s="56"/>
      <c r="F64" s="56"/>
      <c r="G64" s="56"/>
      <c r="H64" s="56"/>
      <c r="I64" s="57"/>
      <c r="J64" s="58">
        <f>SUM(J58:J63)</f>
        <v>7888.0078399999993</v>
      </c>
      <c r="L64" s="10"/>
      <c r="M64" s="10"/>
      <c r="N64" s="10"/>
    </row>
    <row r="65" spans="1:19" ht="15.75" thickBot="1" x14ac:dyDescent="0.3">
      <c r="L65" s="10"/>
      <c r="M65" s="10"/>
      <c r="N65" s="10"/>
    </row>
    <row r="66" spans="1:19" ht="16.5" thickBot="1" x14ac:dyDescent="0.3">
      <c r="A66" s="99" t="s">
        <v>28</v>
      </c>
      <c r="B66" s="100"/>
      <c r="C66" s="100"/>
      <c r="D66" s="100"/>
      <c r="E66" s="32"/>
      <c r="F66" s="32"/>
      <c r="G66" s="32"/>
      <c r="H66" s="32"/>
      <c r="I66" s="36"/>
      <c r="J66" s="32"/>
      <c r="K66" s="33"/>
      <c r="L66" s="33"/>
      <c r="M66" s="33"/>
      <c r="N66" s="33"/>
    </row>
    <row r="67" spans="1:19" ht="21" customHeight="1" x14ac:dyDescent="0.25">
      <c r="A67" s="127"/>
      <c r="B67" s="128" t="s">
        <v>17</v>
      </c>
      <c r="C67" s="128"/>
      <c r="D67" s="128" t="s">
        <v>54</v>
      </c>
      <c r="E67" s="128"/>
      <c r="F67" s="129" t="s">
        <v>81</v>
      </c>
      <c r="G67" s="128" t="s">
        <v>52</v>
      </c>
      <c r="H67" s="128"/>
      <c r="I67" s="128" t="s">
        <v>66</v>
      </c>
      <c r="J67" s="130" t="s">
        <v>68</v>
      </c>
      <c r="L67" s="10"/>
      <c r="M67" s="10"/>
      <c r="N67" s="10"/>
    </row>
    <row r="68" spans="1:19" ht="12.6" customHeight="1" x14ac:dyDescent="0.25">
      <c r="A68" s="101"/>
      <c r="B68" s="97"/>
      <c r="C68" s="97"/>
      <c r="D68" s="97"/>
      <c r="E68" s="97"/>
      <c r="F68" s="112"/>
      <c r="G68" s="97"/>
      <c r="H68" s="97"/>
      <c r="I68" s="97"/>
      <c r="J68" s="96"/>
      <c r="L68" s="10"/>
      <c r="M68" s="10"/>
      <c r="N68" s="10"/>
    </row>
    <row r="69" spans="1:19" ht="33" customHeight="1" thickBot="1" x14ac:dyDescent="0.3">
      <c r="A69" s="101"/>
      <c r="B69" s="97"/>
      <c r="C69" s="97"/>
      <c r="D69" s="97"/>
      <c r="E69" s="97"/>
      <c r="F69" s="112"/>
      <c r="G69" s="97"/>
      <c r="H69" s="97"/>
      <c r="I69" s="97"/>
      <c r="J69" s="96"/>
      <c r="K69" s="10"/>
      <c r="L69" s="10"/>
      <c r="M69" s="10"/>
      <c r="N69" s="10"/>
      <c r="O69" s="10"/>
      <c r="P69" s="10"/>
      <c r="Q69" s="10"/>
      <c r="R69" s="10"/>
      <c r="S69" s="10"/>
    </row>
    <row r="70" spans="1:19" x14ac:dyDescent="0.25">
      <c r="A70" s="51" t="s">
        <v>0</v>
      </c>
      <c r="B70" s="43" t="s">
        <v>1</v>
      </c>
      <c r="C70" s="43" t="s">
        <v>2</v>
      </c>
      <c r="D70" s="43" t="s">
        <v>1</v>
      </c>
      <c r="E70" s="43" t="s">
        <v>2</v>
      </c>
      <c r="F70" s="113"/>
      <c r="G70" s="43" t="s">
        <v>1</v>
      </c>
      <c r="H70" s="43" t="s">
        <v>2</v>
      </c>
      <c r="I70" s="42"/>
      <c r="J70" s="52"/>
      <c r="K70" s="10"/>
      <c r="L70" s="23" t="s">
        <v>30</v>
      </c>
      <c r="M70" s="24"/>
      <c r="N70" s="74"/>
    </row>
    <row r="71" spans="1:19" x14ac:dyDescent="0.25">
      <c r="A71" s="53" t="s">
        <v>5</v>
      </c>
      <c r="B71" s="70">
        <v>1.72</v>
      </c>
      <c r="C71" s="70">
        <v>3.1</v>
      </c>
      <c r="D71" s="70">
        <v>0.11</v>
      </c>
      <c r="E71" s="70">
        <v>0.25</v>
      </c>
      <c r="F71" s="44">
        <f>(0.842*D71)+(0.158*E71)</f>
        <v>0.13211999999999999</v>
      </c>
      <c r="G71" s="45">
        <f t="shared" ref="G71:H76" si="6">G58</f>
        <v>2.9763653716087E-2</v>
      </c>
      <c r="H71" s="45">
        <f t="shared" si="6"/>
        <v>1.6759607424553499E-2</v>
      </c>
      <c r="I71" s="68">
        <v>3686</v>
      </c>
      <c r="J71" s="69">
        <f>F71*I71</f>
        <v>486.99431999999996</v>
      </c>
      <c r="K71" s="10"/>
      <c r="L71" s="25" t="s">
        <v>5</v>
      </c>
      <c r="M71" s="124">
        <f>J58+J71</f>
        <v>890.53759999999988</v>
      </c>
      <c r="N71" s="74"/>
    </row>
    <row r="72" spans="1:19" x14ac:dyDescent="0.25">
      <c r="A72" s="53" t="s">
        <v>6</v>
      </c>
      <c r="B72" s="70">
        <v>1.51</v>
      </c>
      <c r="C72" s="70">
        <v>1.49</v>
      </c>
      <c r="D72" s="70">
        <v>0.08</v>
      </c>
      <c r="E72" s="70">
        <v>0.09</v>
      </c>
      <c r="F72" s="44">
        <f>(0.842*D72)+(0.158*E72)</f>
        <v>8.158E-2</v>
      </c>
      <c r="G72" s="45">
        <f t="shared" si="6"/>
        <v>1.2787662816608999E-2</v>
      </c>
      <c r="H72" s="45">
        <f t="shared" si="6"/>
        <v>1.55784847726608E-2</v>
      </c>
      <c r="I72" s="68">
        <v>2077</v>
      </c>
      <c r="J72" s="69">
        <f>F72*I72</f>
        <v>169.44166000000001</v>
      </c>
      <c r="K72" s="10"/>
      <c r="L72" s="25" t="s">
        <v>6</v>
      </c>
      <c r="M72" s="124">
        <f>J59+J72</f>
        <v>322.47502000000003</v>
      </c>
      <c r="N72" s="74"/>
    </row>
    <row r="73" spans="1:19" x14ac:dyDescent="0.25">
      <c r="A73" s="53" t="s">
        <v>10</v>
      </c>
      <c r="B73" s="70">
        <v>6.74</v>
      </c>
      <c r="C73" s="70">
        <v>12.41</v>
      </c>
      <c r="D73" s="70">
        <v>0.41</v>
      </c>
      <c r="E73" s="70">
        <v>0.54</v>
      </c>
      <c r="F73" s="44">
        <f>(0.842*D73)+(0.158*E73)</f>
        <v>0.43053999999999998</v>
      </c>
      <c r="G73" s="45">
        <f t="shared" si="6"/>
        <v>7.7837319776146802E-2</v>
      </c>
      <c r="H73" s="45">
        <f t="shared" si="6"/>
        <v>6.4630730381549498E-2</v>
      </c>
      <c r="I73" s="73">
        <v>31725</v>
      </c>
      <c r="J73" s="69">
        <f>F73*I73</f>
        <v>13658.8815</v>
      </c>
      <c r="K73" s="10"/>
      <c r="L73" s="25" t="s">
        <v>10</v>
      </c>
      <c r="M73" s="124">
        <f>J60+J73</f>
        <v>20688.506999999998</v>
      </c>
      <c r="N73" s="74"/>
    </row>
    <row r="74" spans="1:19" x14ac:dyDescent="0.25">
      <c r="A74" s="53" t="s">
        <v>11</v>
      </c>
      <c r="B74" s="44" t="s">
        <v>7</v>
      </c>
      <c r="C74" s="44">
        <v>1.1299999999999999</v>
      </c>
      <c r="D74" s="44" t="s">
        <v>7</v>
      </c>
      <c r="E74" s="44">
        <v>0.02</v>
      </c>
      <c r="F74" s="44">
        <f>(0.842*0)+(0.158*E74)</f>
        <v>3.16E-3</v>
      </c>
      <c r="G74" s="45">
        <f t="shared" si="6"/>
        <v>1.83044303171544E-5</v>
      </c>
      <c r="H74" s="45">
        <f t="shared" si="6"/>
        <v>3.2451662713967599E-3</v>
      </c>
      <c r="I74" s="46">
        <v>265</v>
      </c>
      <c r="J74" s="69">
        <f>F74*I74</f>
        <v>0.83740000000000003</v>
      </c>
      <c r="K74" s="10"/>
      <c r="L74" s="25" t="s">
        <v>11</v>
      </c>
      <c r="M74" s="124">
        <f>J61+J74</f>
        <v>2.0935000000000001</v>
      </c>
      <c r="N74" s="74"/>
    </row>
    <row r="75" spans="1:19" x14ac:dyDescent="0.25">
      <c r="A75" s="53" t="s">
        <v>8</v>
      </c>
      <c r="B75" s="44">
        <v>1.95</v>
      </c>
      <c r="C75" s="44">
        <v>1.66</v>
      </c>
      <c r="D75" s="44">
        <v>0.13</v>
      </c>
      <c r="E75" s="44">
        <v>0.1</v>
      </c>
      <c r="F75" s="44">
        <f>(0.842*D75)+(0.158*E75)</f>
        <v>0.12526000000000001</v>
      </c>
      <c r="G75" s="45">
        <f t="shared" si="6"/>
        <v>6.0869445111917501E-4</v>
      </c>
      <c r="H75" s="45">
        <f t="shared" si="6"/>
        <v>3.3655986084177601E-4</v>
      </c>
      <c r="I75" s="46">
        <v>95</v>
      </c>
      <c r="J75" s="69">
        <f>F75*I75</f>
        <v>11.899700000000001</v>
      </c>
      <c r="K75" s="10"/>
      <c r="L75" s="25" t="s">
        <v>8</v>
      </c>
      <c r="M75" s="124">
        <f>J62+J75</f>
        <v>26.499300000000002</v>
      </c>
      <c r="N75" s="74"/>
    </row>
    <row r="76" spans="1:19" x14ac:dyDescent="0.25">
      <c r="A76" s="53" t="s">
        <v>9</v>
      </c>
      <c r="B76" s="44">
        <v>1.43</v>
      </c>
      <c r="C76" s="44">
        <v>1.78</v>
      </c>
      <c r="D76" s="44">
        <v>7.0000000000000007E-2</v>
      </c>
      <c r="E76" s="44">
        <v>0.13</v>
      </c>
      <c r="F76" s="44">
        <f>(0.842*D76)+(0.158*E76)</f>
        <v>7.9480000000000009E-2</v>
      </c>
      <c r="G76" s="45">
        <f t="shared" si="6"/>
        <v>2.5414263168568801E-2</v>
      </c>
      <c r="H76" s="45">
        <f t="shared" si="6"/>
        <v>6.4630730381549498E-2</v>
      </c>
      <c r="I76" s="46">
        <v>4085</v>
      </c>
      <c r="J76" s="69">
        <f>F76*I76</f>
        <v>324.67580000000004</v>
      </c>
      <c r="K76" s="10"/>
      <c r="L76" s="25" t="s">
        <v>9</v>
      </c>
      <c r="M76" s="124">
        <f>J63+J76</f>
        <v>610.62580000000003</v>
      </c>
      <c r="N76" s="74"/>
    </row>
    <row r="77" spans="1:19" ht="15.75" thickBot="1" x14ac:dyDescent="0.3">
      <c r="A77" s="55"/>
      <c r="B77" s="56"/>
      <c r="C77" s="56"/>
      <c r="D77" s="56"/>
      <c r="E77" s="56"/>
      <c r="F77" s="56"/>
      <c r="G77" s="56"/>
      <c r="H77" s="56"/>
      <c r="I77" s="57"/>
      <c r="J77" s="58">
        <f>SUM(J71:J76)</f>
        <v>14652.730380000001</v>
      </c>
      <c r="K77" s="10"/>
      <c r="L77" s="27" t="s">
        <v>20</v>
      </c>
      <c r="M77" s="125">
        <f>J64+J77</f>
        <v>22540.738219999999</v>
      </c>
      <c r="N77" s="74"/>
    </row>
    <row r="78" spans="1:19" ht="15.75" thickBot="1" x14ac:dyDescent="0.3">
      <c r="K78" s="10"/>
      <c r="L78" s="10"/>
      <c r="M78" s="10"/>
      <c r="N78" s="10"/>
    </row>
    <row r="79" spans="1:19" x14ac:dyDescent="0.25">
      <c r="A79" s="4"/>
      <c r="B79" s="5" t="s">
        <v>21</v>
      </c>
      <c r="C79" s="5" t="s">
        <v>22</v>
      </c>
      <c r="D79" s="6" t="s">
        <v>23</v>
      </c>
      <c r="K79" s="10"/>
      <c r="L79" s="10"/>
      <c r="M79" s="10"/>
      <c r="N79" s="10"/>
      <c r="O79" s="10"/>
      <c r="P79" s="10"/>
      <c r="Q79" s="10"/>
      <c r="R79" s="10"/>
      <c r="S79" s="10"/>
    </row>
    <row r="80" spans="1:19" x14ac:dyDescent="0.25">
      <c r="A80" s="7" t="s">
        <v>24</v>
      </c>
      <c r="B80" s="8">
        <f>1676*1000000000</f>
        <v>1676000000000</v>
      </c>
      <c r="C80" s="11">
        <v>5.1999999999999998E-2</v>
      </c>
      <c r="D80" s="30">
        <f t="shared" ref="D80" si="7">B80*C80</f>
        <v>87152000000</v>
      </c>
      <c r="O80" s="10"/>
      <c r="P80" s="10"/>
      <c r="Q80" s="92">
        <f>(M73+M44)/(M48+M77)</f>
        <v>0.8930017706075265</v>
      </c>
    </row>
    <row r="81" spans="1:17" x14ac:dyDescent="0.25">
      <c r="A81" s="7"/>
      <c r="B81" s="8"/>
      <c r="C81" s="11"/>
      <c r="D81" s="30"/>
      <c r="O81" s="10"/>
      <c r="P81" s="75"/>
      <c r="Q81" s="1"/>
    </row>
    <row r="82" spans="1:17" x14ac:dyDescent="0.25">
      <c r="A82" s="7" t="s">
        <v>25</v>
      </c>
      <c r="B82" s="10"/>
      <c r="C82" s="12"/>
      <c r="D82" s="13">
        <f>P25*1000000</f>
        <v>6202856478.0296278</v>
      </c>
      <c r="O82" s="10"/>
      <c r="P82" s="10"/>
      <c r="Q82" s="1"/>
    </row>
    <row r="83" spans="1:17" x14ac:dyDescent="0.25">
      <c r="A83" s="7" t="s">
        <v>69</v>
      </c>
      <c r="B83" s="10"/>
      <c r="C83" s="14"/>
      <c r="D83" s="31">
        <f>D82/D80</f>
        <v>7.1172852923967647E-2</v>
      </c>
      <c r="E83" s="92"/>
      <c r="F83" s="92"/>
      <c r="G83" s="92"/>
    </row>
    <row r="84" spans="1:17" x14ac:dyDescent="0.25">
      <c r="A84" s="7"/>
      <c r="B84" s="10"/>
      <c r="C84" s="10"/>
      <c r="D84" s="31"/>
    </row>
    <row r="85" spans="1:17" x14ac:dyDescent="0.25">
      <c r="A85" s="7" t="s">
        <v>72</v>
      </c>
      <c r="B85" s="12">
        <f>M48*1000000</f>
        <v>2252187000</v>
      </c>
      <c r="C85" s="10"/>
      <c r="D85" s="15"/>
    </row>
    <row r="86" spans="1:17" x14ac:dyDescent="0.25">
      <c r="A86" s="7" t="s">
        <v>71</v>
      </c>
      <c r="B86" s="14">
        <f>B85/B80</f>
        <v>1.3437869928400955E-3</v>
      </c>
      <c r="C86" s="10"/>
      <c r="D86" s="15"/>
    </row>
    <row r="87" spans="1:17" x14ac:dyDescent="0.25">
      <c r="A87" s="7"/>
      <c r="B87" s="10"/>
      <c r="C87" s="10"/>
      <c r="D87" s="15"/>
    </row>
    <row r="88" spans="1:17" x14ac:dyDescent="0.25">
      <c r="A88" s="7" t="s">
        <v>73</v>
      </c>
      <c r="B88" s="9">
        <f>M77*1000000</f>
        <v>22540738220</v>
      </c>
      <c r="C88" s="10"/>
      <c r="D88" s="15"/>
    </row>
    <row r="89" spans="1:17" x14ac:dyDescent="0.25">
      <c r="A89" s="7" t="s">
        <v>70</v>
      </c>
      <c r="B89" s="14">
        <f>B88/B80</f>
        <v>1.3449127816229117E-2</v>
      </c>
      <c r="C89" s="10"/>
      <c r="D89" s="15"/>
    </row>
    <row r="90" spans="1:17" x14ac:dyDescent="0.25">
      <c r="A90" s="7"/>
      <c r="B90" s="10"/>
      <c r="C90" s="10"/>
      <c r="D90" s="15"/>
    </row>
    <row r="91" spans="1:17" x14ac:dyDescent="0.25">
      <c r="A91" s="7" t="s">
        <v>74</v>
      </c>
      <c r="B91" s="16">
        <f>B85+B88</f>
        <v>24792925220</v>
      </c>
      <c r="C91" s="10"/>
      <c r="D91" s="15"/>
    </row>
    <row r="92" spans="1:17" ht="15.75" thickBot="1" x14ac:dyDescent="0.3">
      <c r="A92" s="17" t="s">
        <v>75</v>
      </c>
      <c r="B92" s="18">
        <f>B91/B80</f>
        <v>1.4792914809069212E-2</v>
      </c>
      <c r="C92" s="19"/>
      <c r="D92" s="20"/>
    </row>
  </sheetData>
  <mergeCells count="48">
    <mergeCell ref="I67:I69"/>
    <mergeCell ref="J67:J69"/>
    <mergeCell ref="A66:D66"/>
    <mergeCell ref="A67:A69"/>
    <mergeCell ref="B67:C69"/>
    <mergeCell ref="D67:E69"/>
    <mergeCell ref="F67:F70"/>
    <mergeCell ref="G67:H69"/>
    <mergeCell ref="I41:I43"/>
    <mergeCell ref="J41:J43"/>
    <mergeCell ref="A54:A56"/>
    <mergeCell ref="B54:C56"/>
    <mergeCell ref="D54:E56"/>
    <mergeCell ref="F54:F57"/>
    <mergeCell ref="G54:H56"/>
    <mergeCell ref="I54:I56"/>
    <mergeCell ref="J54:J56"/>
    <mergeCell ref="A40:D40"/>
    <mergeCell ref="A41:A43"/>
    <mergeCell ref="B41:C43"/>
    <mergeCell ref="D41:E43"/>
    <mergeCell ref="F41:F44"/>
    <mergeCell ref="G41:H43"/>
    <mergeCell ref="K15:L17"/>
    <mergeCell ref="M15:M17"/>
    <mergeCell ref="A28:A30"/>
    <mergeCell ref="B28:C30"/>
    <mergeCell ref="D28:E30"/>
    <mergeCell ref="F28:F31"/>
    <mergeCell ref="G28:H30"/>
    <mergeCell ref="I28:I30"/>
    <mergeCell ref="J28:J31"/>
    <mergeCell ref="I2:J4"/>
    <mergeCell ref="K2:L4"/>
    <mergeCell ref="M2:M4"/>
    <mergeCell ref="A14:D14"/>
    <mergeCell ref="A15:A17"/>
    <mergeCell ref="B15:C17"/>
    <mergeCell ref="D15:E17"/>
    <mergeCell ref="F15:G17"/>
    <mergeCell ref="H15:H17"/>
    <mergeCell ref="I15:J17"/>
    <mergeCell ref="A1:E1"/>
    <mergeCell ref="A2:A4"/>
    <mergeCell ref="B2:C4"/>
    <mergeCell ref="D2:E4"/>
    <mergeCell ref="F2:G4"/>
    <mergeCell ref="H2:H4"/>
  </mergeCells>
  <pageMargins left="0.7" right="0.7" top="0.75" bottom="0.75" header="0.3" footer="0.3"/>
  <pageSetup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20E7A-959D-42C7-9226-8879729733BD}">
  <dimension ref="A1:G19"/>
  <sheetViews>
    <sheetView workbookViewId="0">
      <selection activeCell="G4" sqref="G4"/>
    </sheetView>
  </sheetViews>
  <sheetFormatPr defaultRowHeight="15" x14ac:dyDescent="0.25"/>
  <cols>
    <col min="1" max="1" width="28.140625" customWidth="1"/>
    <col min="2" max="2" width="14.140625" customWidth="1"/>
    <col min="3" max="3" width="25" customWidth="1"/>
    <col min="4" max="4" width="17.85546875" customWidth="1"/>
    <col min="5" max="5" width="19.85546875" customWidth="1"/>
  </cols>
  <sheetData>
    <row r="1" spans="1:7" ht="25.5" x14ac:dyDescent="0.25">
      <c r="A1" s="81"/>
      <c r="B1" s="82" t="s">
        <v>77</v>
      </c>
      <c r="C1" s="83" t="s">
        <v>26</v>
      </c>
      <c r="D1" s="83" t="s">
        <v>27</v>
      </c>
      <c r="E1" s="84" t="s">
        <v>31</v>
      </c>
      <c r="F1" s="77"/>
    </row>
    <row r="2" spans="1:7" x14ac:dyDescent="0.25">
      <c r="A2" s="85" t="s">
        <v>5</v>
      </c>
      <c r="B2" s="80">
        <f>'Base case'!T19</f>
        <v>225.07453669794728</v>
      </c>
      <c r="C2" s="80">
        <f>'Base case'!M42</f>
        <v>366.74879999999996</v>
      </c>
      <c r="D2" s="80">
        <f>'Base case'!M71</f>
        <v>890.53759999999988</v>
      </c>
      <c r="E2" s="86">
        <f t="shared" ref="E2:E8" si="0">C2+D2</f>
        <v>1257.2864</v>
      </c>
      <c r="F2" s="77"/>
    </row>
    <row r="3" spans="1:7" x14ac:dyDescent="0.25">
      <c r="A3" s="85" t="s">
        <v>6</v>
      </c>
      <c r="B3" s="80">
        <f>'Base case'!T20</f>
        <v>160.46007259777872</v>
      </c>
      <c r="C3" s="80">
        <f>'Base case'!M43</f>
        <v>132.7473</v>
      </c>
      <c r="D3" s="80">
        <f>'Base case'!M72</f>
        <v>322.47502000000003</v>
      </c>
      <c r="E3" s="86">
        <f t="shared" si="0"/>
        <v>455.22232000000002</v>
      </c>
      <c r="F3" s="77"/>
    </row>
    <row r="4" spans="1:7" x14ac:dyDescent="0.25">
      <c r="A4" s="85" t="s">
        <v>10</v>
      </c>
      <c r="B4" s="80">
        <f>'Base case'!T21</f>
        <v>3326.0792245935381</v>
      </c>
      <c r="C4" s="80">
        <f>'Base case'!M44</f>
        <v>841.23479999999995</v>
      </c>
      <c r="D4" s="80">
        <f>'Base case'!M73</f>
        <v>11989.87832</v>
      </c>
      <c r="E4" s="86">
        <f t="shared" si="0"/>
        <v>12831.11312</v>
      </c>
      <c r="F4" s="91">
        <f>B4/B8</f>
        <v>0.87756304483222847</v>
      </c>
      <c r="G4" s="134">
        <f>E4/E8</f>
        <v>0.82867384790689547</v>
      </c>
    </row>
    <row r="5" spans="1:7" x14ac:dyDescent="0.25">
      <c r="A5" s="85" t="s">
        <v>11</v>
      </c>
      <c r="B5" s="80">
        <f>'Base case'!T22</f>
        <v>2.15</v>
      </c>
      <c r="C5" s="80">
        <f>'Base case'!M45</f>
        <v>1.7301</v>
      </c>
      <c r="D5" s="80">
        <f>'Base case'!M74</f>
        <v>2.0935000000000001</v>
      </c>
      <c r="E5" s="86">
        <f t="shared" si="0"/>
        <v>3.8235999999999999</v>
      </c>
      <c r="F5" s="77"/>
    </row>
    <row r="6" spans="1:7" x14ac:dyDescent="0.25">
      <c r="A6" s="85" t="s">
        <v>8</v>
      </c>
      <c r="B6" s="80">
        <f>'Base case'!T23</f>
        <v>11.928435624956567</v>
      </c>
      <c r="C6" s="80">
        <f>'Base case'!M46</f>
        <v>21.75732</v>
      </c>
      <c r="D6" s="80">
        <f>'Base case'!M75</f>
        <v>26.499300000000002</v>
      </c>
      <c r="E6" s="86">
        <f t="shared" si="0"/>
        <v>48.256619999999998</v>
      </c>
      <c r="F6" s="77"/>
    </row>
    <row r="7" spans="1:7" x14ac:dyDescent="0.25">
      <c r="A7" s="85" t="s">
        <v>9</v>
      </c>
      <c r="B7" s="80">
        <f>'Base case'!T24</f>
        <v>64.439099599452774</v>
      </c>
      <c r="C7" s="80">
        <f>'Base case'!M47</f>
        <v>277.58436000000006</v>
      </c>
      <c r="D7" s="80">
        <f>'Base case'!M76</f>
        <v>610.62580000000003</v>
      </c>
      <c r="E7" s="86">
        <f t="shared" si="0"/>
        <v>888.21016000000009</v>
      </c>
      <c r="F7" s="77"/>
    </row>
    <row r="8" spans="1:7" x14ac:dyDescent="0.25">
      <c r="A8" s="87" t="s">
        <v>78</v>
      </c>
      <c r="B8" s="80">
        <f>SUM(B2:B7)</f>
        <v>3790.1313691136734</v>
      </c>
      <c r="C8" s="80">
        <f>SUM(C2:C7)</f>
        <v>1641.80268</v>
      </c>
      <c r="D8" s="80">
        <f>SUM(D2:D7)</f>
        <v>13842.109539999999</v>
      </c>
      <c r="E8" s="86">
        <f t="shared" si="0"/>
        <v>15483.91222</v>
      </c>
      <c r="F8" s="77"/>
    </row>
    <row r="9" spans="1:7" x14ac:dyDescent="0.25">
      <c r="A9" s="87" t="s">
        <v>79</v>
      </c>
      <c r="B9" s="131">
        <f>'Base case'!D83</f>
        <v>4.3488748039215083E-2</v>
      </c>
      <c r="C9" s="79" t="s">
        <v>7</v>
      </c>
      <c r="D9" s="79" t="s">
        <v>7</v>
      </c>
      <c r="E9" s="88" t="s">
        <v>7</v>
      </c>
      <c r="F9" s="77"/>
    </row>
    <row r="10" spans="1:7" ht="15.75" thickBot="1" x14ac:dyDescent="0.3">
      <c r="A10" s="89" t="s">
        <v>80</v>
      </c>
      <c r="B10" s="90" t="s">
        <v>7</v>
      </c>
      <c r="C10" s="132">
        <f>'Base case'!B86</f>
        <v>9.7959587112171815E-4</v>
      </c>
      <c r="D10" s="132">
        <f>'Base case'!B89</f>
        <v>8.2590152386634846E-3</v>
      </c>
      <c r="E10" s="133">
        <f>'Base case'!B92</f>
        <v>9.2386111097852025E-3</v>
      </c>
      <c r="F10" s="77"/>
    </row>
    <row r="11" spans="1:7" x14ac:dyDescent="0.25">
      <c r="A11" s="77"/>
      <c r="B11" s="77"/>
      <c r="C11" s="77"/>
      <c r="D11" s="77"/>
      <c r="E11" s="77"/>
      <c r="F11" s="77"/>
    </row>
    <row r="12" spans="1:7" x14ac:dyDescent="0.25">
      <c r="A12" s="77"/>
    </row>
    <row r="13" spans="1:7" x14ac:dyDescent="0.25">
      <c r="A13" s="77"/>
    </row>
    <row r="14" spans="1:7" x14ac:dyDescent="0.25">
      <c r="A14" s="77"/>
    </row>
    <row r="15" spans="1:7" x14ac:dyDescent="0.25">
      <c r="A15" s="77"/>
    </row>
    <row r="16" spans="1:7" x14ac:dyDescent="0.25">
      <c r="A16" s="77"/>
    </row>
    <row r="17" spans="1:1" x14ac:dyDescent="0.25">
      <c r="A17" s="77"/>
    </row>
    <row r="18" spans="1:1" x14ac:dyDescent="0.25">
      <c r="A18" s="77"/>
    </row>
    <row r="19" spans="1:1" x14ac:dyDescent="0.25">
      <c r="A19" s="78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32A3-3C28-44E9-B1B7-B274F6DC4792}">
  <dimension ref="A1:N15"/>
  <sheetViews>
    <sheetView topLeftCell="F1" workbookViewId="0">
      <selection activeCell="F16" sqref="F16"/>
    </sheetView>
  </sheetViews>
  <sheetFormatPr defaultRowHeight="15" x14ac:dyDescent="0.25"/>
  <cols>
    <col min="1" max="5" width="0" hidden="1" customWidth="1"/>
    <col min="7" max="8" width="0" hidden="1" customWidth="1"/>
    <col min="10" max="10" width="19.5703125" customWidth="1"/>
    <col min="11" max="13" width="0" hidden="1" customWidth="1"/>
    <col min="14" max="14" width="11.42578125" style="38" customWidth="1"/>
  </cols>
  <sheetData>
    <row r="1" spans="1:14" x14ac:dyDescent="0.2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s="38" t="s">
        <v>45</v>
      </c>
    </row>
    <row r="2" spans="1:14" x14ac:dyDescent="0.25">
      <c r="A2">
        <v>5</v>
      </c>
      <c r="B2" t="s">
        <v>46</v>
      </c>
      <c r="C2">
        <v>152</v>
      </c>
      <c r="D2" t="s">
        <v>24</v>
      </c>
      <c r="E2">
        <v>1</v>
      </c>
      <c r="F2" t="s">
        <v>3</v>
      </c>
      <c r="G2">
        <v>22</v>
      </c>
      <c r="H2" t="s">
        <v>47</v>
      </c>
      <c r="I2">
        <v>429</v>
      </c>
      <c r="J2" t="s">
        <v>11</v>
      </c>
      <c r="K2">
        <v>2</v>
      </c>
      <c r="L2" t="s">
        <v>48</v>
      </c>
      <c r="M2">
        <v>2019</v>
      </c>
      <c r="N2" s="38">
        <v>1.83044303171544E-5</v>
      </c>
    </row>
    <row r="3" spans="1:14" x14ac:dyDescent="0.25">
      <c r="A3">
        <v>5</v>
      </c>
      <c r="B3" t="s">
        <v>46</v>
      </c>
      <c r="C3">
        <v>152</v>
      </c>
      <c r="D3" t="s">
        <v>24</v>
      </c>
      <c r="E3">
        <v>2</v>
      </c>
      <c r="F3" t="s">
        <v>4</v>
      </c>
      <c r="G3">
        <v>22</v>
      </c>
      <c r="H3" t="s">
        <v>47</v>
      </c>
      <c r="I3">
        <v>429</v>
      </c>
      <c r="J3" t="s">
        <v>11</v>
      </c>
      <c r="K3">
        <v>2</v>
      </c>
      <c r="L3" t="s">
        <v>48</v>
      </c>
      <c r="M3">
        <v>2019</v>
      </c>
      <c r="N3" s="38">
        <v>3.2451662713967599E-3</v>
      </c>
    </row>
    <row r="4" spans="1:14" x14ac:dyDescent="0.25">
      <c r="A4">
        <v>5</v>
      </c>
      <c r="B4" t="s">
        <v>46</v>
      </c>
      <c r="C4">
        <v>152</v>
      </c>
      <c r="D4" t="s">
        <v>24</v>
      </c>
      <c r="E4">
        <v>1</v>
      </c>
      <c r="F4" t="s">
        <v>3</v>
      </c>
      <c r="G4">
        <v>22</v>
      </c>
      <c r="H4" t="s">
        <v>47</v>
      </c>
      <c r="I4">
        <v>441</v>
      </c>
      <c r="J4" t="s">
        <v>49</v>
      </c>
      <c r="K4">
        <v>2</v>
      </c>
      <c r="L4" t="s">
        <v>48</v>
      </c>
      <c r="M4">
        <v>2019</v>
      </c>
      <c r="N4" s="38">
        <v>6.0869445111917501E-4</v>
      </c>
    </row>
    <row r="5" spans="1:14" x14ac:dyDescent="0.25">
      <c r="A5">
        <v>5</v>
      </c>
      <c r="B5" t="s">
        <v>46</v>
      </c>
      <c r="C5">
        <v>152</v>
      </c>
      <c r="D5" t="s">
        <v>24</v>
      </c>
      <c r="E5">
        <v>2</v>
      </c>
      <c r="F5" t="s">
        <v>4</v>
      </c>
      <c r="G5">
        <v>22</v>
      </c>
      <c r="H5" t="s">
        <v>47</v>
      </c>
      <c r="I5">
        <v>441</v>
      </c>
      <c r="J5" t="s">
        <v>49</v>
      </c>
      <c r="K5">
        <v>2</v>
      </c>
      <c r="L5" t="s">
        <v>48</v>
      </c>
      <c r="M5">
        <v>2019</v>
      </c>
      <c r="N5" s="38">
        <v>3.3655986084177601E-4</v>
      </c>
    </row>
    <row r="6" spans="1:14" x14ac:dyDescent="0.25">
      <c r="A6">
        <v>5</v>
      </c>
      <c r="B6" t="s">
        <v>46</v>
      </c>
      <c r="C6">
        <v>152</v>
      </c>
      <c r="D6" t="s">
        <v>24</v>
      </c>
      <c r="E6">
        <v>1</v>
      </c>
      <c r="F6" t="s">
        <v>3</v>
      </c>
      <c r="G6">
        <v>22</v>
      </c>
      <c r="H6" t="s">
        <v>47</v>
      </c>
      <c r="I6">
        <v>515</v>
      </c>
      <c r="J6" t="s">
        <v>9</v>
      </c>
      <c r="K6">
        <v>2</v>
      </c>
      <c r="L6" t="s">
        <v>48</v>
      </c>
      <c r="M6">
        <v>2019</v>
      </c>
      <c r="N6" s="38">
        <v>2.5414263168568801E-2</v>
      </c>
    </row>
    <row r="7" spans="1:14" x14ac:dyDescent="0.25">
      <c r="A7">
        <v>5</v>
      </c>
      <c r="B7" t="s">
        <v>46</v>
      </c>
      <c r="C7">
        <v>152</v>
      </c>
      <c r="D7" t="s">
        <v>24</v>
      </c>
      <c r="E7">
        <v>2</v>
      </c>
      <c r="F7" t="s">
        <v>4</v>
      </c>
      <c r="G7">
        <v>22</v>
      </c>
      <c r="H7" t="s">
        <v>47</v>
      </c>
      <c r="I7">
        <v>515</v>
      </c>
      <c r="J7" t="s">
        <v>9</v>
      </c>
      <c r="K7">
        <v>2</v>
      </c>
      <c r="L7" t="s">
        <v>48</v>
      </c>
      <c r="M7">
        <v>2019</v>
      </c>
      <c r="N7" s="38">
        <v>2.4007456151843298E-2</v>
      </c>
    </row>
    <row r="8" spans="1:14" x14ac:dyDescent="0.25">
      <c r="A8">
        <v>5</v>
      </c>
      <c r="B8" t="s">
        <v>46</v>
      </c>
      <c r="C8">
        <v>152</v>
      </c>
      <c r="D8" t="s">
        <v>24</v>
      </c>
      <c r="E8">
        <v>1</v>
      </c>
      <c r="F8" t="s">
        <v>3</v>
      </c>
      <c r="G8">
        <v>22</v>
      </c>
      <c r="H8" t="s">
        <v>47</v>
      </c>
      <c r="I8">
        <v>493</v>
      </c>
      <c r="J8" t="s">
        <v>50</v>
      </c>
      <c r="K8">
        <v>2</v>
      </c>
      <c r="L8" t="s">
        <v>48</v>
      </c>
      <c r="M8">
        <v>2019</v>
      </c>
      <c r="N8" s="38">
        <v>2.9763653716087E-2</v>
      </c>
    </row>
    <row r="9" spans="1:14" x14ac:dyDescent="0.25">
      <c r="A9">
        <v>5</v>
      </c>
      <c r="B9" t="s">
        <v>46</v>
      </c>
      <c r="C9">
        <v>152</v>
      </c>
      <c r="D9" t="s">
        <v>24</v>
      </c>
      <c r="E9">
        <v>2</v>
      </c>
      <c r="F9" t="s">
        <v>4</v>
      </c>
      <c r="G9">
        <v>22</v>
      </c>
      <c r="H9" t="s">
        <v>47</v>
      </c>
      <c r="I9">
        <v>493</v>
      </c>
      <c r="J9" t="s">
        <v>50</v>
      </c>
      <c r="K9">
        <v>2</v>
      </c>
      <c r="L9" t="s">
        <v>48</v>
      </c>
      <c r="M9">
        <v>2019</v>
      </c>
      <c r="N9" s="38">
        <v>1.6759607424553499E-2</v>
      </c>
    </row>
    <row r="10" spans="1:14" x14ac:dyDescent="0.25">
      <c r="A10">
        <v>5</v>
      </c>
      <c r="B10" t="s">
        <v>46</v>
      </c>
      <c r="C10">
        <v>152</v>
      </c>
      <c r="D10" t="s">
        <v>24</v>
      </c>
      <c r="E10">
        <v>1</v>
      </c>
      <c r="F10" t="s">
        <v>3</v>
      </c>
      <c r="G10">
        <v>22</v>
      </c>
      <c r="H10" t="s">
        <v>47</v>
      </c>
      <c r="I10">
        <v>494</v>
      </c>
      <c r="J10" t="s">
        <v>6</v>
      </c>
      <c r="K10">
        <v>2</v>
      </c>
      <c r="L10" t="s">
        <v>48</v>
      </c>
      <c r="M10">
        <v>2019</v>
      </c>
      <c r="N10" s="38">
        <v>1.2787662816608999E-2</v>
      </c>
    </row>
    <row r="11" spans="1:14" x14ac:dyDescent="0.25">
      <c r="A11">
        <v>5</v>
      </c>
      <c r="B11" t="s">
        <v>46</v>
      </c>
      <c r="C11">
        <v>152</v>
      </c>
      <c r="D11" t="s">
        <v>24</v>
      </c>
      <c r="E11">
        <v>2</v>
      </c>
      <c r="F11" t="s">
        <v>4</v>
      </c>
      <c r="G11">
        <v>22</v>
      </c>
      <c r="H11" t="s">
        <v>47</v>
      </c>
      <c r="I11">
        <v>494</v>
      </c>
      <c r="J11" t="s">
        <v>6</v>
      </c>
      <c r="K11">
        <v>2</v>
      </c>
      <c r="L11" t="s">
        <v>48</v>
      </c>
      <c r="M11">
        <v>2019</v>
      </c>
      <c r="N11" s="38">
        <v>1.55784847726608E-2</v>
      </c>
    </row>
    <row r="12" spans="1:14" x14ac:dyDescent="0.25">
      <c r="A12">
        <v>5</v>
      </c>
      <c r="B12" t="s">
        <v>46</v>
      </c>
      <c r="C12">
        <v>152</v>
      </c>
      <c r="D12" t="s">
        <v>24</v>
      </c>
      <c r="E12">
        <v>1</v>
      </c>
      <c r="F12" t="s">
        <v>3</v>
      </c>
      <c r="G12">
        <v>22</v>
      </c>
      <c r="H12" t="s">
        <v>47</v>
      </c>
      <c r="I12">
        <v>976</v>
      </c>
      <c r="J12" t="s">
        <v>51</v>
      </c>
      <c r="K12">
        <v>2</v>
      </c>
      <c r="L12" t="s">
        <v>48</v>
      </c>
      <c r="M12">
        <v>2019</v>
      </c>
      <c r="N12" s="38">
        <v>7.7837319776146802E-2</v>
      </c>
    </row>
    <row r="13" spans="1:14" x14ac:dyDescent="0.25">
      <c r="A13">
        <v>5</v>
      </c>
      <c r="B13" t="s">
        <v>46</v>
      </c>
      <c r="C13">
        <v>152</v>
      </c>
      <c r="D13" t="s">
        <v>24</v>
      </c>
      <c r="E13">
        <v>2</v>
      </c>
      <c r="F13" t="s">
        <v>4</v>
      </c>
      <c r="G13">
        <v>22</v>
      </c>
      <c r="H13" t="s">
        <v>47</v>
      </c>
      <c r="I13">
        <v>976</v>
      </c>
      <c r="J13" t="s">
        <v>51</v>
      </c>
      <c r="K13">
        <v>2</v>
      </c>
      <c r="L13" t="s">
        <v>48</v>
      </c>
      <c r="M13">
        <v>2019</v>
      </c>
      <c r="N13" s="38">
        <v>6.4630730381549498E-2</v>
      </c>
    </row>
    <row r="15" spans="1:14" x14ac:dyDescent="0.25">
      <c r="F15" t="s">
        <v>76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Base case</vt:lpstr>
      <vt:lpstr>Higher diabetes costs</vt:lpstr>
      <vt:lpstr>Lower diabetes costs</vt:lpstr>
      <vt:lpstr>Higher diabetes prevalence</vt:lpstr>
      <vt:lpstr>Absenteeism + Presenteeism</vt:lpstr>
      <vt:lpstr>GBD prevalence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 violinboy</dc:creator>
  <cp:lastModifiedBy>Jesse D.  Malkin</cp:lastModifiedBy>
  <dcterms:created xsi:type="dcterms:W3CDTF">2021-08-25T09:43:37Z</dcterms:created>
  <dcterms:modified xsi:type="dcterms:W3CDTF">2022-01-18T12:13:44Z</dcterms:modified>
</cp:coreProperties>
</file>