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abell's documenten\WERK\Beurzen en projecten\DEB-IPM project\"/>
    </mc:Choice>
  </mc:AlternateContent>
  <xr:revisionPtr revIDLastSave="0" documentId="13_ncr:1_{B64C0D09-FD6D-4702-A890-7E40CD000FA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EB-IPM project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" i="1" l="1"/>
  <c r="P39" i="1"/>
  <c r="P41" i="1"/>
  <c r="P38" i="1"/>
  <c r="P37" i="1"/>
  <c r="P36" i="1"/>
  <c r="P35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2" i="1"/>
  <c r="M33" i="1" s="1"/>
  <c r="M31" i="1"/>
  <c r="M30" i="1"/>
  <c r="P19" i="1" l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IMS</author>
    <author>tc={C6879917-29FC-400B-A302-07627AB76D21}</author>
  </authors>
  <commentList>
    <comment ref="M6" authorId="0" shapeId="0" xr:uid="{F83CADA2-CB85-4677-B355-54BA2C3A6F8F}">
      <text>
        <r>
          <rPr>
            <b/>
            <sz val="9"/>
            <color indexed="81"/>
            <rFont val="Tahoma"/>
            <charset val="1"/>
          </rPr>
          <t>Smith, A.M.A. (1987). The sex and survivorship of embryos and hatchlings of the Australian freshwater crocodile, Crocodylus johnstoni. Thesis (PhD) http://www.doi.org/10.25911/5d6cf75926028</t>
        </r>
      </text>
    </comment>
    <comment ref="N6" authorId="0" shapeId="0" xr:uid="{C87B49B8-C6F4-49D7-BC7F-8C435B9B8926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Tucker, A.D. (1997). Ecology and demography of freshwater crocodiles (Crocodylus Johnstoni) in the Lynd River of north Queensland. PhD Thesis, School of Biological Sciences, The University of Queensland</t>
        </r>
      </text>
    </comment>
    <comment ref="M9" authorId="0" shapeId="0" xr:uid="{F03E49C9-DEDF-4899-B371-460A3AFE9368}">
      <text>
        <r>
          <rPr>
            <b/>
            <sz val="9"/>
            <color indexed="81"/>
            <rFont val="Tahoma"/>
            <charset val="1"/>
          </rPr>
          <t>Wörner, L.L.B. (2009). Aggression and competition for space and food in captive juvenile tuatara (Sphenodon punctatus). PhD Thesis, Victoria University of Biology</t>
        </r>
      </text>
    </comment>
    <comment ref="N9" authorId="0" shapeId="0" xr:uid="{7CAA9CB1-D3A0-44B3-A667-91EA4CA3CFCF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Mitchell, N.J., Allendorg, F.W., Keall, S.N., Daugherty, C.H., Nelson, N.J. (2009). Demographic effects of temperature‐dependent sex determination: will tuatara survive global warming? Global Change Biology 16: 60-72. https://doi.org/10.1111/j.1365-2486.2009.01964.x</t>
        </r>
      </text>
    </comment>
    <comment ref="M13" authorId="0" shapeId="0" xr:uid="{1CFAB122-18EC-4BB6-9F28-BC48E8D8E9D9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Sewell, D., Baker, J. &amp; Griffiths, R.A. (2015). Population dynamics of grass snakes (Natrix natrix) at a site restored for amphibian reintroduction. Herpetological Journal 25: 155-161.</t>
        </r>
      </text>
    </comment>
    <comment ref="N13" authorId="0" shapeId="0" xr:uid="{59CA7F92-B2E6-45EC-ABB7-240302ADB1FD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Sewell, D., Baker, J. &amp; Griffiths, R.A. (2015). Population dynamics of grass snakes (Natrix natrix) at a site restored for amphibian reintroduction. Herpetological Journal 25: 155-161.</t>
        </r>
      </text>
    </comment>
    <comment ref="M15" authorId="0" shapeId="0" xr:uid="{5E81A32C-5281-4ECF-989B-B0EA67A153AC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>Bull, C. (1995). Population ecology of the sleepy lizard, Tiliqua rugosa, at Mt Mary, South Australia. Austral Ecology 20: 393-402. http://doi.org/10.1111/j.1442-9993.1995.tb00555.x</t>
        </r>
      </text>
    </comment>
    <comment ref="N15" authorId="0" shapeId="0" xr:uid="{C798F3BE-972C-430D-8633-D8287F19536B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Bull, C. &amp; Bahhurst B. (1998). Home range overlap of mothers and their offspring in the sleepy lizard, Tiliqua rugosa. Behavior Ecology Sociobiology 42: 357-362.</t>
        </r>
      </text>
    </comment>
    <comment ref="M25" authorId="0" shapeId="0" xr:uid="{573F14B0-A019-421A-B954-37328B75D6B8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Ivanova, T.S., Inavov, M.V., Golovin, P.V., Polyakova, N.V. &amp; Lajus, D.L. (2016). The White Sea threespine stickleback population: spawning habitats, mortality, and abundance. Evolutionary Ecology Research 17: 301-315.</t>
        </r>
      </text>
    </comment>
    <comment ref="N25" authorId="0" shapeId="0" xr:uid="{7291A8C7-DC2B-4F5B-9FB3-54E8D54ADE5D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Ivanova, T.S., Inavov, M.V., Golovin, P.V., Polyakova, N.V. &amp; Lajus, D.L. (2016). The White Sea threespine stickleback population: spawning habitats, mortality, and abundance. Evolutionary Ecology Research 17: 301-315.</t>
        </r>
      </text>
    </comment>
    <comment ref="M29" authorId="0" shapeId="0" xr:uid="{4013CA3B-7F93-4F83-9262-8BD651FBCEC1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Campana, S.E., Marks, L., Joyce, W &amp; Kohler, N. (2005). Catch, by-catch and indices of population status of blue shark (Prionace glauca) in the Canadian Atlantic. ICCAT Collective Voluma of Scientific Papers 58: 891-934. https://www.researchgate.net/publication/266040846_Catch_by-catch_and_indices_of_population_status_of_blue_shark_Prionace_glauca_in_the_Canadian_Atlantic</t>
        </r>
      </text>
    </comment>
    <comment ref="N29" authorId="0" shapeId="0" xr:uid="{92A6D4C5-97A3-4EAF-B7C4-3C0A88683187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Campana, S.E., Marks, L., Joyce, W &amp; Kohler, N. (2005). Catch, by-catch and indices of population status of blue shark (Prionace glauca) in the Canadian Atlantic. ICCAT Collective Voluma of Scientific Papers 58: 891-934. https://www.researchgate.net/publication/266040846_Catch_by-catch_and_indices_of_population_status_of_blue_shark_Prionace_glauca_in_the_Canadian_Atlantic</t>
        </r>
      </text>
    </comment>
    <comment ref="M30" authorId="0" shapeId="0" xr:uid="{D6CB3F13-8A16-4945-92FB-89A6BD7C6616}">
      <text>
        <r>
          <rPr>
            <sz val="9"/>
            <color indexed="81"/>
            <rFont val="Tahoma"/>
            <family val="2"/>
          </rPr>
          <t xml:space="preserve">Juvenile survival  rate per year is 0.95 (Kashiwagi 2014), and Smallegange et al. 2016 estimate a yearling survival rate of 0.63. Assuming the juvenile stage is 9 years, we take the geometric mean of 0.63 and 9x0.95 as the annual juvenile survival rate. </t>
        </r>
      </text>
    </comment>
    <comment ref="M31" authorId="0" shapeId="0" xr:uid="{2815AC7E-F4C1-4AFB-A5F0-0EC72C5C0920}">
      <text>
        <r>
          <rPr>
            <sz val="9"/>
            <color indexed="81"/>
            <rFont val="Tahoma"/>
            <family val="2"/>
          </rPr>
          <t>Following data for M. alfredii, M. birostris matures at 9 years of age (Rhamahiniarison et al. 2018).</t>
        </r>
      </text>
    </comment>
    <comment ref="M32" authorId="0" shapeId="0" xr:uid="{AE5DD10E-A3E0-438D-967A-A6AC8DE269F8}">
      <text>
        <r>
          <rPr>
            <sz val="9"/>
            <color indexed="81"/>
            <rFont val="Tahoma"/>
            <family val="2"/>
          </rPr>
          <t>From Pardo eta l. 2016 Scientific reports</t>
        </r>
      </text>
    </comment>
    <comment ref="M33" authorId="0" shapeId="0" xr:uid="{2F3235D1-6515-4B7B-89B5-9A39B44BCF6B}">
      <text>
        <r>
          <rPr>
            <sz val="9"/>
            <color indexed="81"/>
            <rFont val="Tahoma"/>
            <family val="2"/>
          </rPr>
          <t>Assumed the same as M. Japanica</t>
        </r>
      </text>
    </comment>
    <comment ref="N33" authorId="0" shapeId="0" xr:uid="{5741451C-408E-42A3-924C-8F3A50E342E0}">
      <text>
        <r>
          <rPr>
            <b/>
            <sz val="9"/>
            <color indexed="81"/>
            <rFont val="Tahoma"/>
            <family val="2"/>
          </rPr>
          <t xml:space="preserve">assumed same as M. japanica
</t>
        </r>
      </text>
    </comment>
    <comment ref="M34" authorId="0" shapeId="0" xr:uid="{2618906A-2145-4EF9-BD27-29E1D2258B48}">
      <text>
        <r>
          <rPr>
            <sz val="9"/>
            <color indexed="81"/>
            <rFont val="Tahoma"/>
            <family val="2"/>
          </rPr>
          <t>survival till maturity=0.26. age at maturity -7 yrs. So 7th root of 0.26</t>
        </r>
      </text>
    </comment>
    <comment ref="N34" authorId="0" shapeId="0" xr:uid="{E286034D-D5E6-4748-ADBD-511F2686A826}">
      <text>
        <r>
          <rPr>
            <sz val="9"/>
            <color indexed="81"/>
            <rFont val="Tahoma"/>
            <family val="2"/>
          </rPr>
          <t>natural mortality = 0.25. longevity = 18 yrs. So 18th root of 0.25</t>
        </r>
      </text>
    </comment>
    <comment ref="P34" authorId="0" shapeId="0" xr:uid="{ED44C08B-A8CD-4C4F-BA57-5082E99CB97A}">
      <text>
        <r>
          <rPr>
            <sz val="9"/>
            <color indexed="81"/>
            <rFont val="Tahoma"/>
            <family val="2"/>
          </rPr>
          <t>max 11 pups per litter; max one litter per year. Both biannual and annual breeding cycles</t>
        </r>
      </text>
    </comment>
    <comment ref="M35" authorId="0" shapeId="0" xr:uid="{56F6AC06-653A-4615-8BB6-98FDDAC46A8D}">
      <text>
        <r>
          <rPr>
            <b/>
            <sz val="9"/>
            <color indexed="81"/>
            <rFont val="Tahoma"/>
            <family val="2"/>
          </rPr>
          <t>corrected for fishing mortality</t>
        </r>
      </text>
    </comment>
    <comment ref="N35" authorId="0" shapeId="0" xr:uid="{8B97F5B6-45A6-432A-970A-7C702462D7E4}">
      <text>
        <r>
          <rPr>
            <b/>
            <sz val="9"/>
            <color indexed="81"/>
            <rFont val="Tahoma"/>
            <family val="2"/>
          </rPr>
          <t>corrected for fishing mortality</t>
        </r>
      </text>
    </comment>
    <comment ref="P35" authorId="0" shapeId="0" xr:uid="{BE90C98E-C9BB-4BF7-865F-792833714500}">
      <text>
        <r>
          <rPr>
            <sz val="9"/>
            <color indexed="81"/>
            <rFont val="Tahoma"/>
            <family val="2"/>
          </rPr>
          <t>max 4 per litter. One litter per 2 years</t>
        </r>
      </text>
    </comment>
    <comment ref="M36" authorId="0" shapeId="0" xr:uid="{7EE7159C-80B7-464C-AF38-5B5951EAC2C8}">
      <text>
        <r>
          <rPr>
            <b/>
            <sz val="9"/>
            <color indexed="81"/>
            <rFont val="Tahoma"/>
            <family val="2"/>
          </rPr>
          <t>includes fishing mortality</t>
        </r>
      </text>
    </comment>
    <comment ref="N36" authorId="0" shapeId="0" xr:uid="{66C86690-5A15-494A-BA74-4A056A11C456}">
      <text>
        <r>
          <rPr>
            <b/>
            <sz val="9"/>
            <color indexed="81"/>
            <rFont val="Tahoma"/>
            <family val="2"/>
          </rPr>
          <t>includes fishing mortality</t>
        </r>
      </text>
    </comment>
    <comment ref="P36" authorId="0" shapeId="0" xr:uid="{7146E1C5-AE8B-4398-B5E5-9767D3E0331B}">
      <text>
        <r>
          <rPr>
            <sz val="9"/>
            <color indexed="81"/>
            <rFont val="Tahoma"/>
            <family val="2"/>
          </rPr>
          <t>max 4 per litter. One litter per 2 years</t>
        </r>
      </text>
    </comment>
    <comment ref="M37" authorId="0" shapeId="0" xr:uid="{2DD89EC7-4CDD-4BD8-BF61-8A4772E7969D}">
      <text>
        <r>
          <rPr>
            <sz val="9"/>
            <color indexed="81"/>
            <rFont val="Tahoma"/>
            <family val="2"/>
          </rPr>
          <t>survival till maturity=0.12. age at maturity =12.7 yrs. So 12.7th root of 0.12</t>
        </r>
      </text>
    </comment>
    <comment ref="N37" authorId="0" shapeId="0" xr:uid="{D1E29207-32E7-49EE-BC7A-E1231DEA49EB}">
      <text>
        <r>
          <rPr>
            <sz val="9"/>
            <color indexed="81"/>
            <rFont val="Tahoma"/>
            <family val="2"/>
          </rPr>
          <t>natural mortality = 0.18. longevity = 25 yrs. So 25th root of 0.18</t>
        </r>
      </text>
    </comment>
    <comment ref="P37" authorId="0" shapeId="0" xr:uid="{454A0266-7A0A-4900-9159-04FCA81ED335}">
      <text>
        <r>
          <rPr>
            <sz val="9"/>
            <color indexed="81"/>
            <rFont val="Tahoma"/>
            <family val="2"/>
          </rPr>
          <t>max 17 per litter. One litter per 2 years</t>
        </r>
      </text>
    </comment>
    <comment ref="M38" authorId="0" shapeId="0" xr:uid="{545781EE-F5A0-48AF-9D29-F4708B5734B3}">
      <text>
        <r>
          <rPr>
            <sz val="9"/>
            <color indexed="81"/>
            <rFont val="Tahoma"/>
            <family val="2"/>
          </rPr>
          <t>survival till maturity=0.02. age at maturity =9 yrs. So 9th root of 0.02</t>
        </r>
      </text>
    </comment>
    <comment ref="N38" authorId="0" shapeId="0" xr:uid="{007125F3-F157-400D-8933-302B9B40D209}">
      <text>
        <r>
          <rPr>
            <sz val="9"/>
            <color indexed="81"/>
            <rFont val="Tahoma"/>
            <family val="2"/>
          </rPr>
          <t>natural mortality = 0.68. longevity = 28 yrs. So 28th root of 0.16</t>
        </r>
      </text>
    </comment>
    <comment ref="P38" authorId="0" shapeId="0" xr:uid="{45BDA3E8-D2CE-40F1-89B0-764AA000E130}">
      <text>
        <r>
          <rPr>
            <sz val="9"/>
            <color indexed="81"/>
            <rFont val="Tahoma"/>
            <family val="2"/>
          </rPr>
          <t>max 82 per litter. One litter per 2 years</t>
        </r>
      </text>
    </comment>
    <comment ref="M39" authorId="0" shapeId="0" xr:uid="{773D4D8B-B4AC-4451-B4C6-75F81088B6C6}">
      <text>
        <r>
          <rPr>
            <b/>
            <sz val="9"/>
            <color indexed="81"/>
            <rFont val="Tahoma"/>
            <family val="2"/>
          </rPr>
          <t>assuming that 1 in a 1000 eggs survives till maturity, annual survival rate is 0.63:
http://citeseerx.ist.psu.edu/viewdoc/download?doi=10.1.1.122.5399&amp;rep=rep1&amp;type=pdf#page=292</t>
        </r>
      </text>
    </comment>
    <comment ref="M40" authorId="0" shapeId="0" xr:uid="{13DD2350-353D-4474-BD0A-A59A86B0AB8C}">
      <text>
        <r>
          <rPr>
            <b/>
            <sz val="9"/>
            <color indexed="81"/>
            <rFont val="Tahoma"/>
            <family val="2"/>
          </rPr>
          <t>Hirth and Schaffer (1974) state that 10 out of a 1000 newborns need to survival for population persistence. Chaloupka &amp; Limpus (2005) state that green sea turtle age a maturity is 35 yrs. the 35th root out of 10/1000 = 0.88 annual survival rate. Calculate mortality from that.</t>
        </r>
      </text>
    </comment>
    <comment ref="M41" authorId="0" shapeId="0" xr:uid="{19DDA532-6085-4E62-8E3C-5024458CC1D9}">
      <text>
        <r>
          <rPr>
            <b/>
            <sz val="9"/>
            <color indexed="81"/>
            <rFont val="Tahoma"/>
            <family val="2"/>
          </rPr>
          <t>Schaffer (1986) state that 2.5 out of a 1000 newborns need to survival for population persistence. Casale et al. 2011 state that loggerheads mature on average 26 yrs. the 26th root out of 2.5/1000 = 0.79 annual survival rate. Calculate mortality from that.</t>
        </r>
      </text>
    </comment>
    <comment ref="P41" authorId="1" shapeId="0" xr:uid="{C6879917-29FC-400B-A302-07627AB76D21}">
      <text>
        <t>[Threaded comment]
Your version of Excel allows you to read this threaded comment; however, any edits to it will get removed if the file is opened in a newer version of Excel. Learn more: https://go.microsoft.com/fwlink/?linkid=870924
Comment:
    range: 0.3452-0.863 eggs per day (Marn et al. 2017)</t>
      </text>
    </comment>
    <comment ref="M42" authorId="0" shapeId="0" xr:uid="{A78F85D8-3568-45FE-8378-292ADEBF7DDF}">
      <text>
        <r>
          <rPr>
            <b/>
            <sz val="9"/>
            <color indexed="81"/>
            <rFont val="Tahoma"/>
            <family val="2"/>
          </rPr>
          <t>Conservedly assume that 1 out of a 1000 newborns survives till maturity. 
the expected age at maturity to be
between ~20 and 40 yr for the Howick Group population, which is consistent with the estimate of &gt;30 yr for a southern GBR foraging aggregation (Limpus 1992b, Chaloupka &amp; Limpus 1997).
The 30th root out of 1/1000 = 0.79 annual survival rate. Calculate mortality from that.</t>
        </r>
      </text>
    </comment>
    <comment ref="N42" authorId="0" shapeId="0" xr:uid="{9BBABFC8-D273-4B6D-A590-EE44ED7C0827}">
      <text>
        <r>
          <rPr>
            <b/>
            <sz val="9"/>
            <color indexed="81"/>
            <rFont val="Tahoma"/>
            <family val="2"/>
          </rPr>
          <t>natural mortality rate</t>
        </r>
      </text>
    </comment>
    <comment ref="P42" authorId="0" shapeId="0" xr:uid="{02DFDC90-DBCC-45CC-A60E-06DCE97E23D9}">
      <text>
        <r>
          <rPr>
            <b/>
            <sz val="9"/>
            <color indexed="81"/>
            <rFont val="Tahoma"/>
            <family val="2"/>
          </rPr>
          <t>taken directly from Richardson et al. 1999</t>
        </r>
      </text>
    </comment>
    <comment ref="I43" authorId="0" shapeId="0" xr:uid="{10FE3A84-C3D9-498B-9AFA-D1F535FDE9A8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Shine, R., &amp; Iverson, J. B. (1995). Patterns of Survival, Growth and Maturation in Turtles. Oikos 72: 343-348. https://www.jstor.org/stable/pdf/3546119.pdf</t>
        </r>
      </text>
    </comment>
    <comment ref="J43" authorId="0" shapeId="0" xr:uid="{55B36CDA-2E5D-4AAA-A434-52A4CDC6A56C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Shine, R., &amp; Iverson, J. B. (1995). Patterns of Survival, Growth and Maturation in Turtles. Oikos 72: 343-348. https://www.jstor.org/stable/pdf/3546119.pdf</t>
        </r>
      </text>
    </comment>
    <comment ref="K43" authorId="0" shapeId="0" xr:uid="{ED965AA4-1736-4DAE-A733-CB947A9F22B8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Shine, R., &amp; Iverson, J. B. (1995). Patterns of Survival, Growth and Maturation in Turtles. Oikos 72: 343-348. https://www.jstor.org/stable/pdf/3546119.pdf</t>
        </r>
      </text>
    </comment>
    <comment ref="M43" authorId="0" shapeId="0" xr:uid="{4D41BC9C-E3EF-4204-8C3C-218F6E9CDAA0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Heppell, S.S. (1998). Application of Life-History Theory and Population Model Analysis to Turtle Conservation. Copeia 2: 367-375. http://www.jstor.org/stable/1447430</t>
        </r>
      </text>
    </comment>
    <comment ref="N43" authorId="0" shapeId="0" xr:uid="{170959FA-9CBC-408D-A661-845AA76B2494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Heppell, S.S. (1998). Application of Life-History Theory and Population Model Analysis to Turtle Conservation. Copeia 2: 367-375. http://www.jstor.org/stable/1447430</t>
        </r>
      </text>
    </comment>
    <comment ref="O43" authorId="0" shapeId="0" xr:uid="{44EFEB1E-73BF-48CA-BB81-920015940DB7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Shine, R., &amp; Iverson, J. B. (1995). Patterns of Survival, Growth and Maturation in Turtles. Oikos 72: 343-348. https://www.jstor.org/stable/pdf/3546119.pdf</t>
        </r>
      </text>
    </comment>
    <comment ref="P43" authorId="0" shapeId="0" xr:uid="{758711BC-56F2-4574-981A-BEA48A6F97A7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Congdon, J.D., Dunham, A.E. &amp; van Loben Sels, R.C. (1994). Demographics of Common Snapping Turtles (Chelydra serpentina): Implications for Conservation and Management of Long-lived Organisms. American Zoologist 34: 397-408. https://doi.org/10.1093/icb/34.3.397</t>
        </r>
      </text>
    </comment>
    <comment ref="I44" authorId="0" shapeId="0" xr:uid="{004E7010-7E27-4ADB-B1E4-0193E55CCAEF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Shine, R., &amp; Iverson, J. B. (1995). Patterns of Survival, Growth and Maturation in Turtles. Oikos 72: 343-348. https://www.jstor.org/stable/pdf/3546119.pdf</t>
        </r>
      </text>
    </comment>
    <comment ref="J44" authorId="0" shapeId="0" xr:uid="{23914366-C42C-40F9-9A29-6939EC8A8F84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Shine, R., &amp; Iverson, J. B. (1995). Patterns of Survival, Growth and Maturation in Turtles. Oikos 72: 343-348. https://www.jstor.org/stable/pdf/3546119.pdf</t>
        </r>
      </text>
    </comment>
    <comment ref="K44" authorId="0" shapeId="0" xr:uid="{E2AFCFD2-8E50-4A43-B3AA-C7885D9F776F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Shine, R., &amp; Iverson, J. B. (1995). Patterns of Survival, Growth and Maturation in Turtles. Oikos 72: 343-348. https://www.jstor.org/stable/pdf/3546119.pdf</t>
        </r>
      </text>
    </comment>
    <comment ref="M44" authorId="0" shapeId="0" xr:uid="{A772CEE2-91B0-48DB-B40D-50538A4FBD2B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Heppell, S.S. (1998). Application of Life-History Theory and Population Model Analysis to Turtle Conservation. Copeia 2: 367-375. http://www.jstor.org/stable/1447430</t>
        </r>
      </text>
    </comment>
    <comment ref="N44" authorId="0" shapeId="0" xr:uid="{66D95D3B-FA39-4AE3-AFFC-019BA15225F7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Heppell, S.S. (1998). Application of Life-History Theory and Population Model Analysis to Turtle Conservation. Copeia 2: 367-375. http://www.jstor.org/stable/1447430</t>
        </r>
      </text>
    </comment>
    <comment ref="O44" authorId="0" shapeId="0" xr:uid="{EF4157F0-073F-4D8E-A592-C3D6790170CD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Shine, R., &amp; Iverson, J. B. (1995). Patterns of Survival, Growth and Maturation in Turtles. Oikos 72: 343-348. https://www.jstor.org/stable/pdf/3546119.pdf</t>
        </r>
      </text>
    </comment>
    <comment ref="P44" authorId="0" shapeId="0" xr:uid="{9C1320E1-E63A-45BD-8613-C2CF60F163BA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Christiansen, J. L. &amp; Dunham, A.E. (1972). Reproduction of the Yellow Mud Turtle (Kinosternon flavescens flavescens) in New Mexico. Herpetologica 28: 130-137. https://www.jstor.org/stable/pdf/3891091.pdf</t>
        </r>
      </text>
    </comment>
    <comment ref="I45" authorId="0" shapeId="0" xr:uid="{26D214C3-21E5-4C15-AD1C-42BCC032422B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Henle, K. (1990). Population ecology and Life History of the Arboreal Gecko Gehyra variegata in Arid Australia. Herpetological Monographs 4: 30-60. http://www.jstor.com/stable/1466967</t>
        </r>
      </text>
    </comment>
    <comment ref="J45" authorId="0" shapeId="0" xr:uid="{3F56B7CB-B105-4A08-8894-886F2054EFB2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Henle, K. (1990). Population ecology and Life History of the Arboreal Gecko Gehyra variegata in Arid Australia. Herpetological Monographs 4: 30-60. http://www.jstor.com/stable/1466967</t>
        </r>
      </text>
    </comment>
    <comment ref="K45" authorId="0" shapeId="0" xr:uid="{A38D797F-E436-4983-8895-52A15E29BFF0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Henle, K. (1990). Population ecology and Life History of the Arboreal Gecko Gehyra variegata in Arid Australia. Herpetological Monographs 4: 30-60. http://www.jstor.com/stable/1466967</t>
        </r>
      </text>
    </comment>
    <comment ref="M45" authorId="0" shapeId="0" xr:uid="{4AAF0A57-8C92-49E0-BAE4-C4DF9BE03780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Kitchener, D.J., How, R.A. &amp; Dell, J. (1988). Biology of Oedura reticulata and Gehyra variegata (Gekkonidae) in an Isolated Woodland of Western Australia. Journal of Herpetology 22: 401-412. https://www.jstor.org/stable/1564335</t>
        </r>
      </text>
    </comment>
    <comment ref="N45" authorId="0" shapeId="0" xr:uid="{CC266941-953E-4356-954E-48E9518C889F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Kitchener, D.J., How, R.A. &amp; Dell, J. (1988). Biology of Oedura reticulata and Gehyra variegata (Gekkonidae) in an Isolated Woodland of Western Australia. Journal of Herpetology 22: 401-412. https://www.jstor.org/stable/1564335</t>
        </r>
      </text>
    </comment>
    <comment ref="O45" authorId="0" shapeId="0" xr:uid="{76479322-3522-4C0E-88FE-B9B834CD1FCC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Sarre S. D. (1998). Demographics and Population Persistence of Gehyra variegata (Gekkonidae) Following Habitat Fragmentation. Journal of Herpetology 32: 153-162. https://www.jstor.org/stable/1565291</t>
        </r>
      </text>
    </comment>
    <comment ref="P45" authorId="0" shapeId="0" xr:uid="{0DC32FE5-A1F7-46A9-A7F5-3C6369560F29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Henle, K. (1990). Population ecology and Life History of the Arboreal Gecko Gehyra variegata in Arid Australia. Herpetological Monographs 4: 30-60. http://www.jstor.com/stable/1466967</t>
        </r>
      </text>
    </comment>
    <comment ref="I46" authorId="0" shapeId="0" xr:uid="{E75C8423-2009-4499-A2D7-A38CE0D9CFC2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Kearney, M. (2012). Metabolic theory, life history and the distribution of a terrestrial ectotherm. Functional ecology 26: 167-179. https://doi/10.1111/j.1365-2435.2011.01917.x</t>
        </r>
      </text>
    </comment>
    <comment ref="J46" authorId="0" shapeId="0" xr:uid="{281AD9D4-A717-4910-BE17-D05DE6B7A094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Kearney, M. (2012). Metabolic theory, life history and the distribution of a terrestrial ectotherm. Functional ecology 26: 167-179. https://doi/10.1111/j.1365-2435.2011.01917.x</t>
        </r>
      </text>
    </comment>
    <comment ref="K46" authorId="0" shapeId="0" xr:uid="{3F115EFC-45A4-435E-80B7-EB6903AF60F1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Kearney, M. (2012). Metabolic theory, life history and the distribution of a terrestrial ectotherm. Functional ecology 26: 167-179. https://doi/10.1111/j.1365-2435.2011.01917.x</t>
        </r>
      </text>
    </comment>
    <comment ref="M46" authorId="0" shapeId="0" xr:uid="{CCEA3ED5-34D0-442A-A873-CB0FEDA3D961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Ferguson, F.W., Bohlen, C.H. &amp; Woolley, H.P. (1980). Sceloporus Undulatus: Comparative Life History and Regulation of a Kansas Population. Ecology 61: 313-322. https://www.jstor.org/stable/1935190</t>
        </r>
      </text>
    </comment>
    <comment ref="N46" authorId="0" shapeId="0" xr:uid="{A12E35C7-3A91-4724-951D-EA480A8412DC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Ferguson, F.W., Bohlen, C.H. &amp; Woolley, H.P. (1980). Sceloporus Undulatus: Comparative Life History and Regulation of a Kansas Population. Ecology 61: 313-322. https://www.jstor.org/stable/1935190</t>
        </r>
      </text>
    </comment>
    <comment ref="O46" authorId="0" shapeId="0" xr:uid="{64A2A37B-3A07-4EB4-A62D-CA3E3FA8D88F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Haenel, G.J. &amp; John-Alder, H.B. (2002). Experimental and demographic analyses of growth rate and sexual size dimorphism in a lizard, Sceloporus undulatus. Oikos 96: 70-81. https://doi.org/10.1034/j.1600-0706.2002.10915.x</t>
        </r>
      </text>
    </comment>
    <comment ref="P46" authorId="0" shapeId="0" xr:uid="{EC568E69-1921-48CC-806A-8C727EEB58C1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Ferguson, F.W., Bohlen, C.H. &amp; Woolley, H.P. (1980). Sceloporus Undulatus: Comparative Life History and Regulation of a Kansas Population. Ecology 61: 313-322. https://www.jstor.org/stable/1935190</t>
        </r>
      </text>
    </comment>
    <comment ref="H47" authorId="0" shapeId="0" xr:uid="{3C4744BC-36E0-4ABC-A733-49E43A4086B8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taken from the Add My Pet database (Add-my-pet, 2020);</t>
        </r>
      </text>
    </comment>
    <comment ref="I47" authorId="0" shapeId="0" xr:uid="{BB79AD96-53B6-48E6-BE19-592CCA56A239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Abdoli, A., Pont, D. &amp; Sagnes, P. (2005). Influence of female age, body size and environmental conditions on annual egg production of the bullhead. Journal of Fish Biology 67: 1327-1341. https://doi.org/10.1111/j.0022-1112.2005.00829.x</t>
        </r>
      </text>
    </comment>
    <comment ref="J47" authorId="0" shapeId="0" xr:uid="{48224A1C-2E43-41A8-AC6F-C5165A8FABC6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Fox, P.J. (2006). Preliminary observations on different reproduction strategies in the bullhead (Cottus gobio L.) in northern and southern England. Journal of Fish Biology 12: 5-11. https://doi.org/10.1111/j.1095-8649.1978.tb04144.x</t>
        </r>
      </text>
    </comment>
    <comment ref="K47" authorId="0" shapeId="0" xr:uid="{DEDB2136-69E8-4C52-9B01-2A447DCD3B0B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Froese, R., &amp; Pauly, D. (2016). Cottus gobio Linnaeus, 1758. FishBase http://www.fishbase.org/summary/Cottus-gobio.html</t>
        </r>
      </text>
    </comment>
    <comment ref="M47" authorId="0" shapeId="0" xr:uid="{68E77014-021F-4DA2-8688-7C679FB13DE4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Chaumot, A., Milioni, N., Abdoli, A., Pont, D. &amp; Charles, S. (2006). First step of a modeling approach to evaluate spatial heterogeneity in a fish (Cottus gobio) population dynamics. Ecological Modelling 197: 263-273. https://doi.org/10.1016/j.ecolmodel.2006.03.024</t>
        </r>
      </text>
    </comment>
    <comment ref="N47" authorId="0" shapeId="0" xr:uid="{26E180A2-0E34-4323-949F-69CB6F63BDFE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Chaumot, A., Milioni, N., Abdoli, A., Pont, D. &amp; Charles, S. (2006). First step of a modeling approach to evaluate spatial heterogeneity in a fish (Cottus gobio) population dynamics. Ecological Modelling 197: 263-273. https://doi.org/10.1016/j.ecolmodel.2006.03.024</t>
        </r>
      </text>
    </comment>
    <comment ref="O47" authorId="0" shapeId="0" xr:uid="{1B0AC733-10FB-4C96-B1FB-7E8FC791F9F5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Froese, R., &amp; Pauly, D. (2016). Cottus gobio Linnaeus, 1758. FishBase http://www.fishbase.org/summary/Cottus-gobio.html</t>
        </r>
      </text>
    </comment>
    <comment ref="P47" authorId="0" shapeId="0" xr:uid="{E0ED5952-CB2A-44A6-B610-8172F88C47EC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Abdoli, A., Pont, D. &amp; Sagnes, P. (2005). Influence of female age, body size and environmental conditions on annual egg production of the bullhead. Journal of Fish Biology 67: 1327-1341. https://doi.org/10.1111/j.0022-1112.2005.00829.x</t>
        </r>
      </text>
    </comment>
    <comment ref="I48" authorId="0" shapeId="0" xr:uid="{BDEDAAA7-3E97-48B0-A1EF-933F324A61DD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Compagno &amp; Leonard J. V. (1984). Sharks of the World: An annotated and illustrated catalogue of shark species known to date. Part 2 – Carcharhiniformes. FAO species catalogue 4: 521-524.</t>
        </r>
      </text>
    </comment>
    <comment ref="J48" authorId="0" shapeId="0" xr:uid="{4E19FBD6-EE61-4BF7-9DE8-B928CFAFE486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Campana, S.E., Marks, L., Joyce, W &amp; Kohler, N. (2005). Catch, by-catch and indices of population status of blue shark (Prionace glauca) in the Canadian Atlantic. ICCAT Collective Voluma of Scientific Papers 58: 891-934. https://www.researchgate.net/publication/266040846_Catch_by-catch_and_indices_of_population_status_of_blue_shark_Prionace_glauca_in_the_Canadian_Atlantic</t>
        </r>
      </text>
    </comment>
    <comment ref="K48" authorId="0" shapeId="0" xr:uid="{093E337F-E2CC-4069-A549-63F94CD33FA6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Compagno &amp; Leonard J. V. (1984). Sharks of the World: An annotated and illustrated catalogue of shark species known to date. Part 2 – Carcharhiniformes. FAO species catalogue 4: 521-524.</t>
        </r>
      </text>
    </comment>
    <comment ref="M48" authorId="0" shapeId="0" xr:uid="{AC4A60B0-5AF5-40B1-8EBF-FE22AED5DFED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Campana, S.E., Marks, L., Joyce, W &amp; Kohler, N. (2005). Catch, by-catch and indices of population status of blue shark (Prionace glauca) in the Canadian Atlantic. ICCAT Collective Voluma of Scientific Papers 58: 891-934. https://www.researchgate.net/publication/266040846_Catch_by-catch_and_indices_of_population_status_of_blue_shark_Prionace_glauca_in_the_Canadian_Atlantic</t>
        </r>
      </text>
    </comment>
    <comment ref="N48" authorId="0" shapeId="0" xr:uid="{F98E34C9-1CDF-4619-A052-5371E173F3B8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Campana, S.E., Marks, L., Joyce, W &amp; Kohler, N. (2005). Catch, by-catch and indices of population status of blue shark (Prionace glauca) in the Canadian Atlantic. ICCAT Collective Voluma of Scientific Papers 58: 891-934. https://www.researchgate.net/publication/266040846_Catch_by-catch_and_indices_of_population_status_of_blue_shark_Prionace_glauca_in_the_Canadian_Atlantic</t>
        </r>
      </text>
    </comment>
    <comment ref="O48" authorId="0" shapeId="0" xr:uid="{4D2E3A76-F333-4F7B-B10A-3C4AAD70AB34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del Pilar Blanco-Parra, M., Galván-Magaña, F. &amp; Márquez-Farías, F. Age and growth of the blue shark, Prionace glauca Linnaeus, 1758, in the Northwest coast off Mexico. Revista de Biología Marina y Oceanografía 43: 513-520. https://www.redalyc.org/articulo.oa?id=47911347008</t>
        </r>
      </text>
    </comment>
    <comment ref="P48" authorId="0" shapeId="0" xr:uid="{1103EF90-9F58-47B7-B440-AB44705F27C8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Montealegre-Quijano, S., Cardoso, A.T.C., Silva, R.Z., Kinas, P.G. &amp; Vooren, C.M. (2014). Sexual development, size at maturity, size at maternity and fecundity of the blue shark Prionace glauca (Linnaeus, 1758) in the Southwest Atlantic. Fisheries Research 160: 18-32. https://doi.org/10.1016/j.fishres.2014.03.003</t>
        </r>
      </text>
    </comment>
    <comment ref="H49" authorId="0" shapeId="0" xr:uid="{37F45C6D-B45C-4C85-85C2-B583A55B2429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taken from the Add My Pet database (Add-my-pet, 2020</t>
        </r>
      </text>
    </comment>
    <comment ref="I49" authorId="0" shapeId="0" xr:uid="{8F8A924B-E279-4C07-861E-DE7131DA41C1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taken from the Add My Pet database (Add-my-pet, 2020</t>
        </r>
      </text>
    </comment>
    <comment ref="J49" authorId="0" shapeId="0" xr:uid="{E78B2575-B3FF-4642-A29C-10FCA6265160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taken from the Add My Pet database (Add-my-pet, 2020</t>
        </r>
      </text>
    </comment>
    <comment ref="K49" authorId="0" shapeId="0" xr:uid="{7FB8F5D4-94A9-4116-9E0E-03B52E1C0B3E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taken from the Add My Pet database (Add-my-pet, 2020</t>
        </r>
      </text>
    </comment>
    <comment ref="M49" authorId="0" shapeId="0" xr:uid="{3C4BBF08-D1DB-4B1C-BF76-74DE33223DB2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Mangal et al. (2010</t>
        </r>
      </text>
    </comment>
    <comment ref="N49" authorId="0" shapeId="0" xr:uid="{B5D25EE9-0E97-41A2-A45D-108A0EE2FCA5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Mangal et al. (2010</t>
        </r>
      </text>
    </comment>
    <comment ref="O49" authorId="0" shapeId="0" xr:uid="{9F6651D3-E77D-4C80-9A78-15EC1619B135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Shimose, T., Tanabe, T., Chen, K-S. &amp; Hsu, C-C. (2009). Age determination and growth of Pacific bluefin tuna, Thunnus orientalis, off Japan and Taiwan. Fisheries Research 100: 134-139. https://doi.org/10.1016/j.fishres.2009.06.016.</t>
        </r>
      </text>
    </comment>
    <comment ref="I50" authorId="0" shapeId="0" xr:uid="{38736007-3976-4C27-80CF-6A08B963301E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King, R.B., Stanford, K., Jones, P.C. &amp; Bekker, K. (2016). Size matters: Individual Variation in Ectotherm Growth and Asymptotic Size.</t>
        </r>
      </text>
    </comment>
    <comment ref="J50" authorId="0" shapeId="0" xr:uid="{7D1145DA-0C4B-4A2D-B7C0-09241C6A5768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King, R.B., Stanford, K., Jones, P.C. &amp; Bekker, K. (2016). Size matters: Individual Variation in Ectotherm Growth and Asymptotic Size.</t>
        </r>
      </text>
    </comment>
    <comment ref="K50" authorId="0" shapeId="0" xr:uid="{D60866AE-EAF5-4674-AA38-39E2D37CE555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Sparkman, A.M &amp; Palacios, M.G. (2009). A test of life-history theories of immune defence in two ecotypes of the garter snake, Thamnophis elegans. Journal of Animal Ecology 78: 1242-1248. https://doi.org/10.1111/j.1365-2656.2009.01587.x</t>
        </r>
      </text>
    </comment>
    <comment ref="M50" authorId="0" shapeId="0" xr:uid="{82C07850-8A21-4C21-A629-8929F7D30DBB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Bronikowski, A.M. &amp; Arnold, S.J. (1999). The Evolutionary Ecology of Life History Variation in the Garter Snake Thamnophis elegans. Ecology 80: 2314-2325. https://www.jstor.org/stable/176912</t>
        </r>
      </text>
    </comment>
    <comment ref="N50" authorId="0" shapeId="0" xr:uid="{7D61C604-8E47-4D12-B3A2-73660B42B946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Robert, K.A., Vleck, C. &amp; Bronikowski, A.M. (2009). The effects of maternal corticosterone levels on offspring behavior in fast- and slow-growth garter snakes (Thamnophis elegans). Hormones and Behavior 55: 24-32. https://doi.org/10.1016/j.yhbeh.2008.07.008</t>
        </r>
      </text>
    </comment>
    <comment ref="O50" authorId="0" shapeId="0" xr:uid="{4FD9A8F6-804B-4291-9503-ADED2CD76F36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Calculated in R-studio with a graph from Bronikowski &amp; Arnold (1999);</t>
        </r>
      </text>
    </comment>
    <comment ref="P50" authorId="0" shapeId="0" xr:uid="{7C81A4B9-6BF9-41CC-AE78-C033B3B3CE56}">
      <text>
        <r>
          <rPr>
            <b/>
            <sz val="9"/>
            <color indexed="81"/>
            <rFont val="Tahoma"/>
            <charset val="1"/>
          </rPr>
          <t>IMS:</t>
        </r>
        <r>
          <rPr>
            <sz val="9"/>
            <color indexed="81"/>
            <rFont val="Tahoma"/>
            <charset val="1"/>
          </rPr>
          <t xml:space="preserve">
Bronikowski, A.M. &amp; Arnold, S.J. (1999). The Evolutionary Ecology of Life History Variation in the Garter Snake Thamnophis elegans. Ecology 80: 2314-2325. https://www.jstor.org/stable/176912</t>
        </r>
      </text>
    </comment>
  </commentList>
</comments>
</file>

<file path=xl/sharedStrings.xml><?xml version="1.0" encoding="utf-8"?>
<sst xmlns="http://schemas.openxmlformats.org/spreadsheetml/2006/main" count="384" uniqueCount="211">
  <si>
    <t>cm</t>
  </si>
  <si>
    <t>yr-1</t>
  </si>
  <si>
    <t>Class</t>
  </si>
  <si>
    <t>Order</t>
  </si>
  <si>
    <t>Species</t>
  </si>
  <si>
    <t>Common name</t>
  </si>
  <si>
    <t>K</t>
  </si>
  <si>
    <t>References</t>
  </si>
  <si>
    <t>Reptilia</t>
  </si>
  <si>
    <t>Crocodilia</t>
  </si>
  <si>
    <t>Caiman crocodilus</t>
  </si>
  <si>
    <t>Spectacled caiman</t>
  </si>
  <si>
    <t>Z. Camposand G. Mourao, M. Coutinho, and W. E. Magnusson. Growth of Caiman crocodilus yacare in the Brazilian Pantanal. Plos One, 9(2):e89363., 2014.</t>
  </si>
  <si>
    <t>http://animaldiversity.org/accounts/Caiman_crocodilus/.</t>
  </si>
  <si>
    <t>Crocodylus johnsoni</t>
  </si>
  <si>
    <t>Australian freshwater crocodile</t>
  </si>
  <si>
    <t>P. J. Whitehead. Respiration of Crocodylus johnstoni embryos. In G. J. W. Webb, S. C. Manolis, and P. J. Whitehead, editors, Crocodiles and Alligators, pages 473--497. Beatty, Sydney, 1987.</t>
  </si>
  <si>
    <t>P. J. Whitehead, G. J. W. Webb, and R. S. Seymour. Effect of incubation temperature on development of Crocodylus johnstoni embryos. Physiol. Zool., 63:949--964, 1990.</t>
  </si>
  <si>
    <t>https://www.researchgate.net/publication/40737259_Growth_dynamics_of_freshwater_crocodiles_Crocodylus_johnstoni_in_the_Lynd_River_Queensland</t>
  </si>
  <si>
    <t>Crocodylus niloticus</t>
  </si>
  <si>
    <t>Nile crocodile</t>
  </si>
  <si>
    <t>A. Ngwanya, N. Patzke, M. A. Sprocter, J.-L. Kruger, L.-A. Dell, R. Chawana, P. Mazengenya, B. K. Billings, O. Olaleye, S. Herculano-Houzel, and P. R. Manger. The continuously growing central nervous system of the Nile crocodile (Crocodylus niloticus). The Anatomical Record, 296:1489--1500, 2013.</t>
  </si>
  <si>
    <t>Gavialis gangeticus</t>
  </si>
  <si>
    <t>Gharial</t>
  </si>
  <si>
    <t>ttp://library.sandiegozoo.org/factsheets/gharial/gharial.htm.</t>
  </si>
  <si>
    <t>https://animaldiversity.org/accounts/Eunectes_murinus/#815F0F14-924A-11E1-9DCA-002500F14F28</t>
  </si>
  <si>
    <t>Rhynchocephalia</t>
  </si>
  <si>
    <t>Sphenodon punctatus</t>
  </si>
  <si>
    <t>Tuatara</t>
  </si>
  <si>
    <t>N. J. Nelson, M. B. Thompson, S. Pledger, S. N. Keall, and C. H. Daugherty. Egg mass determines hatchling size, and incubation temperature influences post-hatching growth, of tuatara Sphenodon punctatus. J. Zool., Lond., 263:77--87, 2004.</t>
  </si>
  <si>
    <t>Squamata</t>
  </si>
  <si>
    <t>Boa constictor</t>
  </si>
  <si>
    <t>Columbian boa</t>
  </si>
  <si>
    <t>A. Abuys. De slangen van Suriname. Gopher Publ., Groningen, 2003.</t>
  </si>
  <si>
    <t>Egernia striolatat</t>
  </si>
  <si>
    <t>Tree Skink</t>
  </si>
  <si>
    <t>M. R. Kearney, R. Aguilar, L. Alton, C. Bywater, E. Pirtle, and C. White. Egernia life history paper. in prep.</t>
  </si>
  <si>
    <t>M. Bull, C. M. &amp; Bonnett. Egernia striolata (tree skink) reproduction. Herpetological Review, page 389, 2004.</t>
  </si>
  <si>
    <t>Eunectes murinus</t>
  </si>
  <si>
    <t>Green anaconda</t>
  </si>
  <si>
    <t>Natrix natrix</t>
  </si>
  <si>
    <t>Grass snake</t>
  </si>
  <si>
    <t>T. Madsen. Growth rates, maturation and sexual size dimorphism in a population of grass snakes, Natrix natrix, in Southern Sweden. Oikos, 40:277--282, 1983.</t>
  </si>
  <si>
    <t>Takhydromus hsuehshanensis</t>
  </si>
  <si>
    <t>Snow Mountain grasslizard</t>
  </si>
  <si>
    <t>Y. H. Chen. The temperature effect on embryos and hatchlings in high altitudinal grass lizard, Takydromus hsuehshanensis. PhD thesis, National Taiwan Normal University, 2007.</t>
  </si>
  <si>
    <t>Wen-San Huang. Reproductive cycles of the grass lizard, Takydromus hsuehshanensis, with comments on reproductive patterns of lizards from the central high elevation area of Taiwan. Copeia, 1998(4):866--873, 1998.</t>
  </si>
  <si>
    <t>Tiliqua rugosa</t>
  </si>
  <si>
    <t>Sleepy Lizard</t>
  </si>
  <si>
    <t>Y Pamula. Reproduction in the viviparous skink Tiliqua rugosa. PhD thesis, Flinders University, 1997.</t>
  </si>
  <si>
    <t>K. J. Wilson. The relationship of oxygen supply for activity to body temperature in four species of lizards. Copeia, 1974(4):920--934, 1974.</t>
  </si>
  <si>
    <t>https://www.journals.uchicago.edu/doi/full/10.1086/508823</t>
  </si>
  <si>
    <t>Testudines</t>
  </si>
  <si>
    <t>Chelodina oblonga</t>
  </si>
  <si>
    <t>Northern snake-necked turtle</t>
  </si>
  <si>
    <t>C. H. Ernst and R. W. Barbour. Turtles of the world. Smithsonian Institutiun Press, Washington, 1989.</t>
  </si>
  <si>
    <t>. Kennett. Growth models for two species of freshwater turtle, Chelodina rugosa and Elseya dentata from the wet-dry tropics of Northern Australia. Herpetologica, 50(3):383--395, 1996.</t>
  </si>
  <si>
    <t>Cuora flavomarginata</t>
  </si>
  <si>
    <t>Chinese box turtle</t>
  </si>
  <si>
    <t>T.-H. Chen and K.-Y. Lue. Growth patterns of the yellow-margined box turtle (Cuora flavomarginata) in Northern Taiwan. Journal of Herpetology, 36(2):201--208, 2002.</t>
  </si>
  <si>
    <t>Dermochelys cariacea</t>
  </si>
  <si>
    <t>Leatherback turtle</t>
  </si>
  <si>
    <t>T. T. Jones. Energetics of the leatherback turtle, Dermochelys coriacea. PhD thesis, Univ Britisch columbia (Vancouver), 2009.</t>
  </si>
  <si>
    <t>E. R. Price, B. P. Wallace, R. D. Reina, J. R. Spotila, F. V. Paladino, R. Piedra, and E. Vélez. Size, growth, and reproductive output of adult female leatherback turtles Dermochelys coriacea. Endang Species Res, 1:41--48, 2006.</t>
  </si>
  <si>
    <t>Podocnemis unifilis</t>
  </si>
  <si>
    <t>Yellow-spotted river turtle</t>
  </si>
  <si>
    <t>P. S. Miorando, T. Giarrizzo, and J. C. B. Pezzuti. Population structure and allometry of Podocnemis unifilis(Testudines, Podocnemididae) in a protected area upstream Belo Monte dam in Xingu River, Brazil. Anais da Academia Brasileira de Ciências, 87(4):2067--2079, 2015.</t>
  </si>
  <si>
    <t>M. B. Meers, K. L. Robinson, D. Smith, A. Scordino, and L. Fisher. Effect of diet on growth in captive Podocnemis unifilis: assessing optimal diets for turtles in head-starting programs. Bullitin Florida Museum Natural History, 54(4):58--68, 2016.</t>
  </si>
  <si>
    <t>Tom Hopman</t>
  </si>
  <si>
    <t>Naomi Eeltink/Gavin Jansen</t>
  </si>
  <si>
    <t>Family</t>
  </si>
  <si>
    <t>Bivalvia</t>
  </si>
  <si>
    <t>Veneroida</t>
  </si>
  <si>
    <t>Cardiidae</t>
  </si>
  <si>
    <t>Cerastoderma edule</t>
  </si>
  <si>
    <t>Common cockle</t>
  </si>
  <si>
    <t>Ostreoida</t>
  </si>
  <si>
    <t>Ostreidae</t>
  </si>
  <si>
    <t>Crassostrea gigas</t>
  </si>
  <si>
    <t>Pacific oyster</t>
  </si>
  <si>
    <t>Mytiloida</t>
  </si>
  <si>
    <t>Mytilidae</t>
  </si>
  <si>
    <t>Mytilus edulis</t>
  </si>
  <si>
    <t>Blue mussel</t>
  </si>
  <si>
    <t>Actinopterygii</t>
  </si>
  <si>
    <t>Cyprinodontiformes</t>
  </si>
  <si>
    <t>Poeciliidae</t>
  </si>
  <si>
    <t>Gambusia holbrooki</t>
  </si>
  <si>
    <t>eastern mosquitofish</t>
  </si>
  <si>
    <t>Myoida</t>
  </si>
  <si>
    <t>Myidae</t>
  </si>
  <si>
    <t>Mya arenaria</t>
  </si>
  <si>
    <t>Soft-shell clam</t>
  </si>
  <si>
    <t>Gasterosteiformes</t>
  </si>
  <si>
    <t>Gasterosteidae</t>
  </si>
  <si>
    <t>Gasterosteus aculeatus</t>
  </si>
  <si>
    <t>three-spined stickleback</t>
  </si>
  <si>
    <t>Perciformes</t>
  </si>
  <si>
    <t>Scombridae</t>
  </si>
  <si>
    <t>Thunnus maccoyii</t>
  </si>
  <si>
    <t>southern bluefin tuna</t>
  </si>
  <si>
    <t>Acipenseriformes</t>
  </si>
  <si>
    <t>Acipenseridae</t>
  </si>
  <si>
    <t>Acipenser fulvescens</t>
  </si>
  <si>
    <t>lake sturgeon</t>
  </si>
  <si>
    <t>Scorpaeniformes</t>
  </si>
  <si>
    <t>Scorpaenidae</t>
  </si>
  <si>
    <t>Sebastes goodei</t>
  </si>
  <si>
    <t>Chilipepper rockfish</t>
  </si>
  <si>
    <t>Chondrichthyes</t>
  </si>
  <si>
    <t>Lamniformes</t>
  </si>
  <si>
    <t>Lamnidae</t>
  </si>
  <si>
    <t>Lamna nasus</t>
  </si>
  <si>
    <t>porbeagle</t>
  </si>
  <si>
    <t>Myliobatiformes</t>
  </si>
  <si>
    <t>Jensen1992</t>
  </si>
  <si>
    <t>Seed1977</t>
  </si>
  <si>
    <t>Cardoso2007</t>
  </si>
  <si>
    <t>Blanchet2003</t>
  </si>
  <si>
    <t>oviparous</t>
  </si>
  <si>
    <t>Walles2015</t>
  </si>
  <si>
    <t>?</t>
  </si>
  <si>
    <t>Lacoste2001</t>
  </si>
  <si>
    <t>Suchanek1981</t>
  </si>
  <si>
    <t>x</t>
  </si>
  <si>
    <t>thompson1979</t>
  </si>
  <si>
    <t>Copeia1990</t>
  </si>
  <si>
    <t>Hoenig2024</t>
  </si>
  <si>
    <t>Gerasimova2015</t>
  </si>
  <si>
    <t>Calculated</t>
  </si>
  <si>
    <t>Wootton2000</t>
  </si>
  <si>
    <t>fishbase.se</t>
  </si>
  <si>
    <t>WIKI</t>
  </si>
  <si>
    <t>Hoenig2022</t>
  </si>
  <si>
    <t>ovuliparous</t>
  </si>
  <si>
    <t>Farley2014</t>
  </si>
  <si>
    <t>Hoenig2017</t>
  </si>
  <si>
    <t>Lowie2000</t>
  </si>
  <si>
    <t>Hoenig2016</t>
  </si>
  <si>
    <t>Hoenig2018</t>
  </si>
  <si>
    <t>Hoenig2015</t>
  </si>
  <si>
    <t>ovoviviparous</t>
  </si>
  <si>
    <t>general</t>
  </si>
  <si>
    <t>Lb ref</t>
  </si>
  <si>
    <t>Lp ref</t>
  </si>
  <si>
    <t>GL</t>
  </si>
  <si>
    <r>
      <t>Lm</t>
    </r>
    <r>
      <rPr>
        <b/>
        <sz val="11"/>
        <color theme="1"/>
        <rFont val="Calibri"/>
        <family val="2"/>
      </rPr>
      <t xml:space="preserve"> ref</t>
    </r>
  </si>
  <si>
    <t>Reef manta ray</t>
  </si>
  <si>
    <t>Author</t>
  </si>
  <si>
    <t>Isabel</t>
  </si>
  <si>
    <t>Phillips 1964</t>
  </si>
  <si>
    <t>ONLY SUPPLY SYSTEMS LIKE FISH, INVERTEBRATES, REPTILES ETC. NOT INSECTS AS THEY SHOW EXP GROWTH</t>
  </si>
  <si>
    <t>Spinetail devil ray</t>
  </si>
  <si>
    <t>giant manta ray</t>
  </si>
  <si>
    <t>Mobula thurstoni</t>
  </si>
  <si>
    <t>bentfin devil ray</t>
  </si>
  <si>
    <t>Mobulidae</t>
  </si>
  <si>
    <t>Blacktip reef shark</t>
  </si>
  <si>
    <t>Whitetip reef shark</t>
  </si>
  <si>
    <t>Gray reef shark</t>
  </si>
  <si>
    <t>Lemon shark</t>
  </si>
  <si>
    <t>Tiger shark</t>
  </si>
  <si>
    <t>Green sea turtle</t>
  </si>
  <si>
    <t>Loggerhead sea turtle</t>
  </si>
  <si>
    <t>hakwsbill sea turtle</t>
  </si>
  <si>
    <r>
      <rPr>
        <b/>
        <sz val="11"/>
        <color rgb="FF000000"/>
        <rFont val="Symbol"/>
        <family val="1"/>
        <charset val="2"/>
      </rPr>
      <t>m</t>
    </r>
    <r>
      <rPr>
        <b/>
        <sz val="11"/>
        <color rgb="FF000000"/>
        <rFont val="Calibri"/>
        <family val="2"/>
      </rPr>
      <t>_newborn to maturity</t>
    </r>
  </si>
  <si>
    <t>µ_adult (natural mortality)</t>
  </si>
  <si>
    <t>Mobula alfredi</t>
  </si>
  <si>
    <t>Mobula birostris</t>
  </si>
  <si>
    <t>Mobula japanica</t>
  </si>
  <si>
    <t>Carcharhinus limbatus</t>
  </si>
  <si>
    <t>Triaenodon obesus</t>
  </si>
  <si>
    <t>Carcharhinus amblyrhynchos</t>
  </si>
  <si>
    <t>Negaprion brevirostris</t>
  </si>
  <si>
    <t>Galeocerdo cuvier</t>
  </si>
  <si>
    <t>Chelonia mydas</t>
  </si>
  <si>
    <t>Caretta caretta</t>
  </si>
  <si>
    <t>Eretmochelys imbricata</t>
  </si>
  <si>
    <t xml:space="preserve"> Carcharhiniformes</t>
  </si>
  <si>
    <t>Carcharhinidae</t>
  </si>
  <si>
    <t>Cheloniidae</t>
  </si>
  <si>
    <t>Smallegange et al. 2020 Frontiers in Marine Science</t>
  </si>
  <si>
    <t>µ (background mortality for all individuals)</t>
  </si>
  <si>
    <t>kappa ref</t>
  </si>
  <si>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</rPr>
      <t xml:space="preserve"> ref</t>
    </r>
  </si>
  <si>
    <t>Rm ref</t>
  </si>
  <si>
    <t>vB ref</t>
  </si>
  <si>
    <t>reproduction</t>
  </si>
  <si>
    <t>Lb (length at birth)</t>
  </si>
  <si>
    <t>Lp (length at puberty)</t>
  </si>
  <si>
    <t>Lm (maximum length)</t>
  </si>
  <si>
    <t>von Bertalanffy growth rate</t>
  </si>
  <si>
    <t>Rm (maximum reproduction rate)</t>
  </si>
  <si>
    <t>Please cite: DEB-IPM project [DATE]. Database of DEB-IPM model parameters. 10.6084/m9.figshare.13241972</t>
  </si>
  <si>
    <t>snapping turtle</t>
  </si>
  <si>
    <t>Iris van Rijn</t>
  </si>
  <si>
    <t>Chelydra serpentina</t>
  </si>
  <si>
    <t>yellow mud turtle</t>
  </si>
  <si>
    <t>Kinosternon flavescens</t>
  </si>
  <si>
    <t>Tree dtella</t>
  </si>
  <si>
    <t>Gehyra variegata</t>
  </si>
  <si>
    <t>Eastern fence lizard</t>
  </si>
  <si>
    <t>Sceloporus undulatus</t>
  </si>
  <si>
    <t>European bullhead</t>
  </si>
  <si>
    <t>Cottus gobio</t>
  </si>
  <si>
    <t>Blue shark</t>
  </si>
  <si>
    <t>Prionace glauca</t>
  </si>
  <si>
    <t>Pacific bluefin tuna</t>
  </si>
  <si>
    <t>Wandering gartner snake</t>
  </si>
  <si>
    <t>Thunnus orientalis</t>
  </si>
  <si>
    <t>Thamnophis elegans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</si>
</sst>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rgb="FF000000"/>
      <name val="Symbol"/>
      <family val="1"/>
      <charset val="2"/>
    </font>
    <font>
      <b/>
      <sz val="11"/>
      <color rgb="FF000000"/>
      <name val="Calibri"/>
      <family val="1"/>
      <charset val="2"/>
    </font>
    <font>
      <sz val="9"/>
      <color indexed="81"/>
      <name val="Tahoma"/>
      <family val="2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1"/>
      <charset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0" fillId="0" borderId="0" xfId="0" applyFont="1"/>
    <xf numFmtId="0" fontId="6" fillId="0" borderId="0" xfId="0" applyFont="1" applyAlignment="1"/>
    <xf numFmtId="0" fontId="1" fillId="2" borderId="0" xfId="0" applyFont="1" applyFill="1"/>
    <xf numFmtId="0" fontId="0" fillId="2" borderId="0" xfId="0" applyFill="1"/>
    <xf numFmtId="0" fontId="7" fillId="0" borderId="0" xfId="0" applyFont="1" applyAlignment="1"/>
    <xf numFmtId="0" fontId="0" fillId="0" borderId="0" xfId="0" applyBorder="1"/>
    <xf numFmtId="0" fontId="0" fillId="0" borderId="0" xfId="0" applyFont="1" applyBorder="1" applyAlignment="1"/>
    <xf numFmtId="2" fontId="0" fillId="0" borderId="0" xfId="0" applyNumberFormat="1" applyFont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2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2" fontId="3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 applyFill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7" fillId="0" borderId="0" xfId="0" applyFont="1" applyFill="1" applyBorder="1" applyAlignment="1"/>
    <xf numFmtId="0" fontId="11" fillId="0" borderId="0" xfId="0" applyFont="1"/>
    <xf numFmtId="2" fontId="3" fillId="0" borderId="0" xfId="0" applyNumberFormat="1" applyFont="1" applyAlignment="1">
      <alignment horizontal="left"/>
    </xf>
    <xf numFmtId="2" fontId="13" fillId="0" borderId="0" xfId="0" applyNumberFormat="1" applyFont="1" applyAlignment="1">
      <alignment horizontal="left"/>
    </xf>
    <xf numFmtId="2" fontId="0" fillId="0" borderId="0" xfId="0" applyNumberFormat="1" applyFill="1" applyAlignment="1">
      <alignment horizontal="right"/>
    </xf>
    <xf numFmtId="2" fontId="11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2" fontId="4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malle1/Documents/WERK/Papers/ms%2065%20Special%20Issue%20Eco-Evo%20Dynamics%20Marine%20biodiversity/Data%20analysis/input%20data/Frontiers%20DEB-IPM%20data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 model pars R1"/>
      <sheetName val="estimates model pars"/>
      <sheetName val="mortality whitetip and gray"/>
      <sheetName val="functional traits"/>
    </sheetNames>
    <sheetDataSet>
      <sheetData sheetId="0"/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Isabel Smallegange" id="{0DB23146-A4A6-48D2-A1D9-8446369666EC}" userId="S::i.smallegange@uva.nl::4bc1f40c-c27d-4664-981e-f0afc54d570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41" dT="2020-10-01T09:48:47.35" personId="{0DB23146-A4A6-48D2-A1D9-8446369666EC}" id="{C6879917-29FC-400B-A302-07627AB76D21}">
    <text>range: 0.3452-0.863 eggs per day (Marn et al. 2017)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"/>
  <sheetViews>
    <sheetView tabSelected="1" zoomScale="130" zoomScaleNormal="130" workbookViewId="0">
      <pane xSplit="2" ySplit="4" topLeftCell="G36" activePane="bottomRight" state="frozen"/>
      <selection pane="topRight" activeCell="C1" sqref="C1"/>
      <selection pane="bottomLeft" activeCell="A4" sqref="A4"/>
      <selection pane="bottomRight" activeCell="N44" sqref="N44"/>
    </sheetView>
  </sheetViews>
  <sheetFormatPr defaultRowHeight="14.4"/>
  <cols>
    <col min="2" max="2" width="29.33203125" bestFit="1" customWidth="1"/>
    <col min="8" max="12" width="9.33203125" style="16" bestFit="1" customWidth="1"/>
    <col min="13" max="14" width="9.33203125" style="16" customWidth="1"/>
    <col min="15" max="15" width="9.33203125" style="16" bestFit="1" customWidth="1"/>
    <col min="16" max="16" width="9.5546875" style="16" customWidth="1"/>
    <col min="26" max="26" width="8.88671875" style="37"/>
  </cols>
  <sheetData>
    <row r="1" spans="1:26">
      <c r="A1" s="7" t="s">
        <v>151</v>
      </c>
      <c r="B1" s="8"/>
      <c r="C1" s="7"/>
      <c r="D1" s="8"/>
      <c r="E1" s="8"/>
      <c r="F1" s="8"/>
      <c r="G1" s="8"/>
      <c r="H1" s="15"/>
      <c r="I1" s="33"/>
      <c r="J1" s="33"/>
      <c r="Q1" s="3" t="s">
        <v>7</v>
      </c>
    </row>
    <row r="2" spans="1:26">
      <c r="A2" s="7" t="s">
        <v>193</v>
      </c>
      <c r="B2" s="8"/>
      <c r="C2" s="7"/>
      <c r="D2" s="8"/>
      <c r="E2" s="8"/>
      <c r="F2" s="8"/>
      <c r="G2" s="8"/>
      <c r="H2" s="15"/>
      <c r="I2" s="33"/>
      <c r="J2" s="33"/>
      <c r="Q2" s="3"/>
    </row>
    <row r="3" spans="1:26" s="1" customFormat="1" ht="15.6">
      <c r="D3" s="2"/>
      <c r="H3" s="17"/>
      <c r="I3" s="17" t="s">
        <v>0</v>
      </c>
      <c r="J3" s="17" t="s">
        <v>0</v>
      </c>
      <c r="K3" s="17" t="s">
        <v>0</v>
      </c>
      <c r="L3" s="17" t="s">
        <v>1</v>
      </c>
      <c r="M3" s="17" t="s">
        <v>1</v>
      </c>
      <c r="N3" s="17" t="s">
        <v>1</v>
      </c>
      <c r="O3" s="17" t="s">
        <v>1</v>
      </c>
      <c r="P3" s="17" t="s">
        <v>1</v>
      </c>
      <c r="Q3" s="3"/>
      <c r="Z3" s="38"/>
    </row>
    <row r="4" spans="1:26" s="1" customFormat="1" ht="15.75" customHeight="1">
      <c r="B4" s="1" t="s">
        <v>5</v>
      </c>
      <c r="C4" s="1" t="s">
        <v>148</v>
      </c>
      <c r="D4" s="1" t="s">
        <v>2</v>
      </c>
      <c r="E4" s="1" t="s">
        <v>3</v>
      </c>
      <c r="F4" s="1" t="s">
        <v>70</v>
      </c>
      <c r="G4" s="1" t="s">
        <v>4</v>
      </c>
      <c r="H4" s="17" t="s">
        <v>6</v>
      </c>
      <c r="I4" s="31" t="s">
        <v>188</v>
      </c>
      <c r="J4" s="31" t="s">
        <v>189</v>
      </c>
      <c r="K4" s="41" t="s">
        <v>190</v>
      </c>
      <c r="L4" s="31" t="s">
        <v>182</v>
      </c>
      <c r="M4" s="32" t="s">
        <v>165</v>
      </c>
      <c r="N4" s="31" t="s">
        <v>166</v>
      </c>
      <c r="O4" s="31" t="s">
        <v>191</v>
      </c>
      <c r="P4" s="31" t="s">
        <v>192</v>
      </c>
      <c r="Q4" s="17" t="s">
        <v>142</v>
      </c>
      <c r="R4" s="23" t="s">
        <v>143</v>
      </c>
      <c r="S4" s="23" t="s">
        <v>144</v>
      </c>
      <c r="T4" s="23" t="s">
        <v>146</v>
      </c>
      <c r="U4" s="24" t="s">
        <v>183</v>
      </c>
      <c r="V4" s="40" t="s">
        <v>184</v>
      </c>
      <c r="W4" s="24" t="s">
        <v>185</v>
      </c>
      <c r="X4" s="24" t="s">
        <v>186</v>
      </c>
      <c r="Y4" s="24" t="s">
        <v>145</v>
      </c>
      <c r="Z4" s="39" t="s">
        <v>187</v>
      </c>
    </row>
    <row r="5" spans="1:26" s="1" customFormat="1" ht="15.75" customHeight="1">
      <c r="A5" s="4">
        <v>1</v>
      </c>
      <c r="B5" s="1" t="s">
        <v>11</v>
      </c>
      <c r="C5" s="9" t="s">
        <v>68</v>
      </c>
      <c r="D5" s="1" t="s">
        <v>8</v>
      </c>
      <c r="E5" s="1" t="s">
        <v>9</v>
      </c>
      <c r="G5" s="1" t="s">
        <v>10</v>
      </c>
      <c r="H5" s="12">
        <v>0.95409999999999995</v>
      </c>
      <c r="I5" s="12">
        <v>13</v>
      </c>
      <c r="J5" s="12">
        <v>120</v>
      </c>
      <c r="K5" s="12">
        <v>161</v>
      </c>
      <c r="L5" s="18">
        <v>0.16</v>
      </c>
      <c r="M5" s="18"/>
      <c r="N5" s="18"/>
      <c r="O5" s="18">
        <v>0.13253999999999999</v>
      </c>
      <c r="P5" s="12">
        <f>365*0.1096</f>
        <v>40.003999999999998</v>
      </c>
      <c r="Q5" s="1" t="s">
        <v>12</v>
      </c>
      <c r="R5" s="1" t="s">
        <v>13</v>
      </c>
      <c r="Z5" s="38"/>
    </row>
    <row r="6" spans="1:26" s="1" customFormat="1">
      <c r="A6" s="4">
        <v>2</v>
      </c>
      <c r="B6" s="1" t="s">
        <v>15</v>
      </c>
      <c r="C6" s="9" t="s">
        <v>68</v>
      </c>
      <c r="D6" s="1" t="s">
        <v>8</v>
      </c>
      <c r="E6" s="1" t="s">
        <v>9</v>
      </c>
      <c r="G6" s="1" t="s">
        <v>14</v>
      </c>
      <c r="H6" s="12">
        <v>0.97</v>
      </c>
      <c r="I6" s="12">
        <v>24</v>
      </c>
      <c r="J6" s="12">
        <v>150</v>
      </c>
      <c r="K6" s="12">
        <v>200</v>
      </c>
      <c r="L6" s="18">
        <v>0.12</v>
      </c>
      <c r="M6" s="18">
        <v>0.78</v>
      </c>
      <c r="N6" s="18">
        <v>0.04</v>
      </c>
      <c r="O6" s="18">
        <v>0.100843</v>
      </c>
      <c r="P6" s="12">
        <f>365*0.03562</f>
        <v>13.001299999999999</v>
      </c>
      <c r="Q6" s="1" t="s">
        <v>16</v>
      </c>
      <c r="R6" s="1" t="s">
        <v>17</v>
      </c>
      <c r="S6" s="4" t="s">
        <v>18</v>
      </c>
      <c r="Z6" s="38"/>
    </row>
    <row r="7" spans="1:26" s="1" customFormat="1" ht="16.2" customHeight="1">
      <c r="A7" s="4">
        <v>3</v>
      </c>
      <c r="B7" s="1" t="s">
        <v>20</v>
      </c>
      <c r="C7" s="9" t="s">
        <v>68</v>
      </c>
      <c r="D7" s="1" t="s">
        <v>8</v>
      </c>
      <c r="E7" s="5" t="s">
        <v>9</v>
      </c>
      <c r="F7" s="5"/>
      <c r="G7" s="1" t="s">
        <v>19</v>
      </c>
      <c r="H7" s="12">
        <v>0.65990000000000004</v>
      </c>
      <c r="I7" s="12">
        <v>29</v>
      </c>
      <c r="J7" s="12">
        <v>280</v>
      </c>
      <c r="K7" s="12">
        <v>427</v>
      </c>
      <c r="L7" s="18">
        <v>0.12</v>
      </c>
      <c r="M7" s="18"/>
      <c r="N7" s="18"/>
      <c r="O7" s="18">
        <v>7.1153499999999995E-2</v>
      </c>
      <c r="P7" s="12">
        <f>365*0.2603</f>
        <v>95.009499999999989</v>
      </c>
      <c r="Q7" s="1" t="s">
        <v>21</v>
      </c>
      <c r="Z7" s="38"/>
    </row>
    <row r="8" spans="1:26" s="1" customFormat="1" ht="15.75" customHeight="1">
      <c r="A8" s="4">
        <v>4</v>
      </c>
      <c r="B8" s="1" t="s">
        <v>23</v>
      </c>
      <c r="C8" s="9" t="s">
        <v>68</v>
      </c>
      <c r="D8" s="1" t="s">
        <v>8</v>
      </c>
      <c r="E8" s="1" t="s">
        <v>9</v>
      </c>
      <c r="G8" s="1" t="s">
        <v>22</v>
      </c>
      <c r="H8" s="12">
        <v>0.74070000000000003</v>
      </c>
      <c r="I8" s="12">
        <v>37</v>
      </c>
      <c r="J8" s="12">
        <v>300</v>
      </c>
      <c r="K8" s="12">
        <v>375</v>
      </c>
      <c r="L8" s="18">
        <v>0.12</v>
      </c>
      <c r="M8" s="18"/>
      <c r="N8" s="18"/>
      <c r="O8" s="18">
        <v>9.4100000000000003E-2</v>
      </c>
      <c r="P8" s="12">
        <f>365*0.1014</f>
        <v>37.011000000000003</v>
      </c>
      <c r="Q8" s="1" t="s">
        <v>24</v>
      </c>
      <c r="R8" s="1" t="s">
        <v>25</v>
      </c>
      <c r="Z8" s="38"/>
    </row>
    <row r="9" spans="1:26" s="1" customFormat="1" ht="15.75" customHeight="1">
      <c r="A9" s="4">
        <v>5</v>
      </c>
      <c r="B9" s="1" t="s">
        <v>28</v>
      </c>
      <c r="C9" s="9" t="s">
        <v>68</v>
      </c>
      <c r="D9" s="1" t="s">
        <v>8</v>
      </c>
      <c r="E9" s="1" t="s">
        <v>26</v>
      </c>
      <c r="G9" s="1" t="s">
        <v>27</v>
      </c>
      <c r="H9" s="12">
        <v>0.79339999999999999</v>
      </c>
      <c r="I9" s="12">
        <v>10.5</v>
      </c>
      <c r="J9" s="12">
        <v>45</v>
      </c>
      <c r="K9" s="12">
        <v>80</v>
      </c>
      <c r="L9" s="18">
        <v>0.05</v>
      </c>
      <c r="M9" s="18">
        <v>0.27</v>
      </c>
      <c r="N9" s="18">
        <v>0.05</v>
      </c>
      <c r="O9" s="18">
        <v>4.5912799999999997E-2</v>
      </c>
      <c r="P9" s="12">
        <f>365*0.01233</f>
        <v>4.5004499999999998</v>
      </c>
      <c r="Q9" s="6" t="s">
        <v>29</v>
      </c>
      <c r="Z9" s="38"/>
    </row>
    <row r="10" spans="1:26" s="1" customFormat="1" ht="15.75" customHeight="1">
      <c r="A10" s="4">
        <v>6</v>
      </c>
      <c r="B10" s="1" t="s">
        <v>32</v>
      </c>
      <c r="C10" s="9" t="s">
        <v>68</v>
      </c>
      <c r="D10" s="1" t="s">
        <v>8</v>
      </c>
      <c r="E10" s="1" t="s">
        <v>30</v>
      </c>
      <c r="G10" s="1" t="s">
        <v>31</v>
      </c>
      <c r="H10" s="12">
        <v>0.62160000000000004</v>
      </c>
      <c r="I10" s="12">
        <v>45</v>
      </c>
      <c r="J10" s="12">
        <v>170</v>
      </c>
      <c r="K10" s="12">
        <v>450</v>
      </c>
      <c r="L10" s="18">
        <v>0.124</v>
      </c>
      <c r="M10" s="18"/>
      <c r="N10" s="18"/>
      <c r="O10" s="18">
        <v>5.1021999999999998E-2</v>
      </c>
      <c r="P10" s="12">
        <f>365*0.1781</f>
        <v>65.006500000000003</v>
      </c>
      <c r="Q10" s="6" t="s">
        <v>33</v>
      </c>
      <c r="Z10" s="38"/>
    </row>
    <row r="11" spans="1:26" s="1" customFormat="1" ht="15.75" customHeight="1">
      <c r="A11" s="4">
        <v>7</v>
      </c>
      <c r="B11" s="1" t="s">
        <v>35</v>
      </c>
      <c r="C11" s="9" t="s">
        <v>68</v>
      </c>
      <c r="D11" s="1" t="s">
        <v>8</v>
      </c>
      <c r="E11" s="1" t="s">
        <v>30</v>
      </c>
      <c r="G11" s="1" t="s">
        <v>34</v>
      </c>
      <c r="H11" s="12">
        <v>0.65229999999999999</v>
      </c>
      <c r="I11" s="12">
        <v>5.173</v>
      </c>
      <c r="J11" s="12">
        <v>10</v>
      </c>
      <c r="K11" s="12">
        <v>12.1</v>
      </c>
      <c r="L11" s="18">
        <v>0.39700000000000002</v>
      </c>
      <c r="M11" s="18"/>
      <c r="N11" s="18"/>
      <c r="O11" s="18">
        <v>0.74987999999999999</v>
      </c>
      <c r="P11" s="12">
        <f>365*0.01096</f>
        <v>4.0004</v>
      </c>
      <c r="Q11" s="1" t="s">
        <v>36</v>
      </c>
      <c r="R11" s="6" t="s">
        <v>37</v>
      </c>
      <c r="Z11" s="38"/>
    </row>
    <row r="12" spans="1:26" s="1" customFormat="1" ht="15.75" customHeight="1">
      <c r="A12" s="4">
        <v>8</v>
      </c>
      <c r="B12" s="1" t="s">
        <v>39</v>
      </c>
      <c r="C12" s="9" t="s">
        <v>68</v>
      </c>
      <c r="D12" s="1" t="s">
        <v>8</v>
      </c>
      <c r="E12" s="1" t="s">
        <v>30</v>
      </c>
      <c r="G12" s="1" t="s">
        <v>38</v>
      </c>
      <c r="H12" s="12">
        <v>0.34360000000000002</v>
      </c>
      <c r="I12" s="12">
        <v>37</v>
      </c>
      <c r="J12" s="12">
        <v>302</v>
      </c>
      <c r="K12" s="12">
        <v>914</v>
      </c>
      <c r="L12" s="18">
        <v>0.124</v>
      </c>
      <c r="M12" s="18"/>
      <c r="N12" s="18"/>
      <c r="O12" s="18">
        <v>0.114</v>
      </c>
      <c r="P12" s="12">
        <f>365*0.274</f>
        <v>100.01</v>
      </c>
      <c r="Q12" s="1" t="s">
        <v>33</v>
      </c>
      <c r="Z12" s="38"/>
    </row>
    <row r="13" spans="1:26" s="1" customFormat="1" ht="15.75" customHeight="1">
      <c r="A13" s="4">
        <v>9</v>
      </c>
      <c r="B13" s="1" t="s">
        <v>41</v>
      </c>
      <c r="C13" s="9" t="s">
        <v>68</v>
      </c>
      <c r="D13" s="1" t="s">
        <v>8</v>
      </c>
      <c r="E13" s="1" t="s">
        <v>30</v>
      </c>
      <c r="G13" s="1" t="s">
        <v>40</v>
      </c>
      <c r="H13" s="12">
        <v>0.59350000000000003</v>
      </c>
      <c r="I13" s="12">
        <v>19</v>
      </c>
      <c r="J13" s="12">
        <v>68</v>
      </c>
      <c r="K13" s="12">
        <v>190</v>
      </c>
      <c r="L13" s="18">
        <v>0.124</v>
      </c>
      <c r="M13" s="18">
        <v>0.42</v>
      </c>
      <c r="N13" s="18">
        <v>0.4</v>
      </c>
      <c r="O13" s="18">
        <v>0.10763</v>
      </c>
      <c r="P13" s="12">
        <f>365*0.1096</f>
        <v>40.003999999999998</v>
      </c>
      <c r="Q13" s="6" t="s">
        <v>42</v>
      </c>
      <c r="Z13" s="38"/>
    </row>
    <row r="14" spans="1:26" s="1" customFormat="1" ht="15.75" customHeight="1">
      <c r="A14" s="4">
        <v>10</v>
      </c>
      <c r="B14" s="1" t="s">
        <v>44</v>
      </c>
      <c r="C14" s="9" t="s">
        <v>68</v>
      </c>
      <c r="D14" s="1" t="s">
        <v>8</v>
      </c>
      <c r="E14" s="1" t="s">
        <v>30</v>
      </c>
      <c r="G14" s="1" t="s">
        <v>43</v>
      </c>
      <c r="H14" s="12">
        <v>0.65580000000000005</v>
      </c>
      <c r="I14" s="12">
        <v>2.6</v>
      </c>
      <c r="J14" s="12">
        <v>5.4</v>
      </c>
      <c r="K14" s="12">
        <v>7.2</v>
      </c>
      <c r="L14" s="18">
        <v>0.39700000000000002</v>
      </c>
      <c r="M14" s="18"/>
      <c r="N14" s="18"/>
      <c r="O14" s="18">
        <v>0.47872999999999999</v>
      </c>
      <c r="P14" s="12">
        <f>365*0.01644</f>
        <v>6.0005999999999995</v>
      </c>
      <c r="Q14" s="6" t="s">
        <v>45</v>
      </c>
      <c r="R14" s="1" t="s">
        <v>46</v>
      </c>
      <c r="Z14" s="38"/>
    </row>
    <row r="15" spans="1:26" s="1" customFormat="1" ht="15.75" customHeight="1">
      <c r="A15" s="4">
        <v>11</v>
      </c>
      <c r="B15" s="1" t="s">
        <v>48</v>
      </c>
      <c r="C15" s="9" t="s">
        <v>68</v>
      </c>
      <c r="D15" s="1" t="s">
        <v>8</v>
      </c>
      <c r="E15" s="1" t="s">
        <v>30</v>
      </c>
      <c r="G15" s="1" t="s">
        <v>47</v>
      </c>
      <c r="H15" s="12">
        <v>0.9083</v>
      </c>
      <c r="I15" s="19">
        <v>9</v>
      </c>
      <c r="J15" s="12">
        <v>23</v>
      </c>
      <c r="K15" s="12">
        <v>32.799999999999997</v>
      </c>
      <c r="L15" s="18">
        <v>0.39700000000000002</v>
      </c>
      <c r="M15" s="18">
        <v>1.06</v>
      </c>
      <c r="N15" s="18">
        <v>0.11</v>
      </c>
      <c r="O15" s="12">
        <v>0.49765999999999999</v>
      </c>
      <c r="P15" s="12">
        <f>365*0.002404</f>
        <v>0.87745999999999991</v>
      </c>
      <c r="Q15" s="6" t="s">
        <v>49</v>
      </c>
      <c r="R15" s="6" t="s">
        <v>50</v>
      </c>
      <c r="S15" s="1" t="s">
        <v>51</v>
      </c>
      <c r="Z15" s="38"/>
    </row>
    <row r="16" spans="1:26" s="1" customFormat="1" ht="15.75" customHeight="1">
      <c r="A16" s="4">
        <v>12</v>
      </c>
      <c r="B16" s="6" t="s">
        <v>54</v>
      </c>
      <c r="C16" s="9" t="s">
        <v>68</v>
      </c>
      <c r="D16" s="1" t="s">
        <v>8</v>
      </c>
      <c r="E16" s="1" t="s">
        <v>52</v>
      </c>
      <c r="G16" s="1" t="s">
        <v>53</v>
      </c>
      <c r="H16" s="12">
        <v>0.81989999999999996</v>
      </c>
      <c r="I16" s="12">
        <v>3.1</v>
      </c>
      <c r="J16" s="12">
        <v>21</v>
      </c>
      <c r="K16" s="12">
        <v>30</v>
      </c>
      <c r="L16" s="18">
        <v>0.02</v>
      </c>
      <c r="M16" s="18"/>
      <c r="N16" s="18"/>
      <c r="O16" s="18">
        <v>0.22436</v>
      </c>
      <c r="P16" s="12">
        <f>365*0.03836</f>
        <v>14.001399999999999</v>
      </c>
      <c r="Q16" s="6" t="s">
        <v>55</v>
      </c>
      <c r="R16" s="6" t="s">
        <v>56</v>
      </c>
      <c r="Z16" s="38"/>
    </row>
    <row r="17" spans="1:26" s="1" customFormat="1" ht="15.75" customHeight="1">
      <c r="A17" s="4">
        <v>13</v>
      </c>
      <c r="B17" s="1" t="s">
        <v>58</v>
      </c>
      <c r="C17" s="9" t="s">
        <v>68</v>
      </c>
      <c r="D17" s="1" t="s">
        <v>8</v>
      </c>
      <c r="E17" s="1" t="s">
        <v>52</v>
      </c>
      <c r="G17" s="1" t="s">
        <v>57</v>
      </c>
      <c r="H17" s="12">
        <v>0.57830000000000004</v>
      </c>
      <c r="I17" s="12">
        <v>4.2</v>
      </c>
      <c r="J17" s="12">
        <v>14.6</v>
      </c>
      <c r="K17" s="12">
        <v>16.7</v>
      </c>
      <c r="L17" s="18">
        <v>0.15</v>
      </c>
      <c r="M17" s="18"/>
      <c r="N17" s="18"/>
      <c r="O17" s="18">
        <v>0.10277</v>
      </c>
      <c r="P17" s="12">
        <f>365*0.02466</f>
        <v>9.0008999999999997</v>
      </c>
      <c r="Q17" s="6" t="s">
        <v>59</v>
      </c>
      <c r="Z17" s="38"/>
    </row>
    <row r="18" spans="1:26" s="1" customFormat="1" ht="15.75" customHeight="1">
      <c r="A18" s="4">
        <v>14</v>
      </c>
      <c r="B18" s="27" t="s">
        <v>61</v>
      </c>
      <c r="C18" s="9" t="s">
        <v>68</v>
      </c>
      <c r="D18" s="1" t="s">
        <v>8</v>
      </c>
      <c r="E18" s="1" t="s">
        <v>52</v>
      </c>
      <c r="G18" s="1" t="s">
        <v>60</v>
      </c>
      <c r="H18" s="12">
        <v>0.91659999999999997</v>
      </c>
      <c r="I18" s="18">
        <v>7</v>
      </c>
      <c r="J18" s="12">
        <v>121</v>
      </c>
      <c r="K18" s="12">
        <v>175</v>
      </c>
      <c r="L18" s="18">
        <v>0.15</v>
      </c>
      <c r="M18" s="18"/>
      <c r="N18" s="18"/>
      <c r="O18" s="18">
        <v>0.124587</v>
      </c>
      <c r="P18" s="12">
        <f>365*0.3836</f>
        <v>140.01400000000001</v>
      </c>
      <c r="Q18" s="1" t="s">
        <v>62</v>
      </c>
      <c r="R18" s="1" t="s">
        <v>63</v>
      </c>
      <c r="Z18" s="38"/>
    </row>
    <row r="19" spans="1:26" s="1" customFormat="1" ht="15.75" customHeight="1">
      <c r="A19" s="4">
        <v>15</v>
      </c>
      <c r="B19" s="28" t="s">
        <v>65</v>
      </c>
      <c r="C19" s="9" t="s">
        <v>68</v>
      </c>
      <c r="D19" s="11" t="s">
        <v>8</v>
      </c>
      <c r="E19" s="11" t="s">
        <v>52</v>
      </c>
      <c r="F19" s="11"/>
      <c r="G19" s="11" t="s">
        <v>64</v>
      </c>
      <c r="H19" s="13">
        <v>0.85029999999999994</v>
      </c>
      <c r="I19" s="13">
        <v>4.8</v>
      </c>
      <c r="J19" s="13">
        <v>31</v>
      </c>
      <c r="K19" s="13">
        <v>52</v>
      </c>
      <c r="L19" s="20">
        <v>0.08</v>
      </c>
      <c r="M19" s="20"/>
      <c r="N19" s="20"/>
      <c r="O19" s="20">
        <v>0.18</v>
      </c>
      <c r="P19" s="13">
        <f>365*0.1096</f>
        <v>40.003999999999998</v>
      </c>
      <c r="Q19" s="11" t="s">
        <v>66</v>
      </c>
      <c r="R19" s="6" t="s">
        <v>67</v>
      </c>
      <c r="Z19" s="38"/>
    </row>
    <row r="20" spans="1:26">
      <c r="A20" s="4">
        <v>16</v>
      </c>
      <c r="B20" s="26" t="s">
        <v>75</v>
      </c>
      <c r="C20" s="9" t="s">
        <v>69</v>
      </c>
      <c r="D20" s="10" t="s">
        <v>71</v>
      </c>
      <c r="E20" s="10" t="s">
        <v>72</v>
      </c>
      <c r="F20" s="10" t="s">
        <v>73</v>
      </c>
      <c r="G20" s="10" t="s">
        <v>74</v>
      </c>
      <c r="H20" s="14">
        <v>0.8</v>
      </c>
      <c r="I20" s="14">
        <v>0.15</v>
      </c>
      <c r="J20" s="14">
        <v>4.5</v>
      </c>
      <c r="K20" s="14">
        <v>6</v>
      </c>
      <c r="L20" s="14">
        <v>0.65700000000000003</v>
      </c>
      <c r="M20" s="14"/>
      <c r="N20" s="14"/>
      <c r="O20" s="14">
        <v>1.1499999999999999</v>
      </c>
      <c r="P20" s="14">
        <v>6000000</v>
      </c>
      <c r="Q20" s="10"/>
      <c r="R20" t="s">
        <v>115</v>
      </c>
      <c r="S20" t="s">
        <v>116</v>
      </c>
      <c r="T20" t="s">
        <v>117</v>
      </c>
      <c r="U20" t="s">
        <v>117</v>
      </c>
      <c r="V20" t="s">
        <v>118</v>
      </c>
      <c r="X20" t="s">
        <v>117</v>
      </c>
      <c r="Y20" s="21">
        <v>1.5</v>
      </c>
      <c r="Z20" s="37" t="s">
        <v>119</v>
      </c>
    </row>
    <row r="21" spans="1:26">
      <c r="A21" s="4">
        <v>17</v>
      </c>
      <c r="B21" s="26" t="s">
        <v>79</v>
      </c>
      <c r="C21" s="9" t="s">
        <v>69</v>
      </c>
      <c r="D21" s="10" t="s">
        <v>71</v>
      </c>
      <c r="E21" s="10" t="s">
        <v>76</v>
      </c>
      <c r="F21" s="10" t="s">
        <v>77</v>
      </c>
      <c r="G21" s="10" t="s">
        <v>78</v>
      </c>
      <c r="H21" s="14">
        <v>0.45</v>
      </c>
      <c r="I21" s="14">
        <v>0.22</v>
      </c>
      <c r="J21" s="14">
        <v>2.1</v>
      </c>
      <c r="K21" s="14">
        <v>45</v>
      </c>
      <c r="L21" s="14">
        <v>0.43799999999999994</v>
      </c>
      <c r="M21" s="14"/>
      <c r="N21" s="14"/>
      <c r="O21" s="14">
        <v>0.73</v>
      </c>
      <c r="P21" s="14">
        <v>200000000</v>
      </c>
      <c r="R21" t="s">
        <v>120</v>
      </c>
      <c r="S21" t="s">
        <v>121</v>
      </c>
      <c r="T21" t="s">
        <v>117</v>
      </c>
      <c r="U21" t="s">
        <v>117</v>
      </c>
      <c r="V21" t="s">
        <v>122</v>
      </c>
      <c r="X21" t="s">
        <v>117</v>
      </c>
      <c r="Y21" s="22"/>
      <c r="Z21" s="37" t="s">
        <v>119</v>
      </c>
    </row>
    <row r="22" spans="1:26">
      <c r="A22" s="4">
        <v>18</v>
      </c>
      <c r="B22" s="26" t="s">
        <v>83</v>
      </c>
      <c r="C22" s="9" t="s">
        <v>69</v>
      </c>
      <c r="D22" s="10" t="s">
        <v>71</v>
      </c>
      <c r="E22" s="10" t="s">
        <v>80</v>
      </c>
      <c r="F22" s="10" t="s">
        <v>81</v>
      </c>
      <c r="G22" s="10" t="s">
        <v>82</v>
      </c>
      <c r="H22" s="14">
        <v>0.8</v>
      </c>
      <c r="I22" s="14">
        <v>0.3</v>
      </c>
      <c r="J22" s="14">
        <v>1.75</v>
      </c>
      <c r="K22" s="14">
        <v>15</v>
      </c>
      <c r="L22" s="14">
        <v>0.62049999999999994</v>
      </c>
      <c r="M22" s="14"/>
      <c r="N22" s="14"/>
      <c r="O22" s="14">
        <v>0.84800000000000009</v>
      </c>
      <c r="P22" s="14">
        <v>16000000</v>
      </c>
      <c r="R22" t="s">
        <v>123</v>
      </c>
      <c r="S22" t="s">
        <v>123</v>
      </c>
      <c r="T22" t="s">
        <v>117</v>
      </c>
      <c r="U22" t="s">
        <v>117</v>
      </c>
      <c r="V22" t="s">
        <v>124</v>
      </c>
      <c r="W22" t="s">
        <v>125</v>
      </c>
      <c r="X22" t="s">
        <v>117</v>
      </c>
      <c r="Y22" s="22"/>
      <c r="Z22" s="37" t="s">
        <v>119</v>
      </c>
    </row>
    <row r="23" spans="1:26">
      <c r="A23" s="4">
        <v>19</v>
      </c>
      <c r="B23" s="26" t="s">
        <v>92</v>
      </c>
      <c r="C23" s="9" t="s">
        <v>69</v>
      </c>
      <c r="D23" s="10" t="s">
        <v>71</v>
      </c>
      <c r="E23" s="10" t="s">
        <v>89</v>
      </c>
      <c r="F23" s="10" t="s">
        <v>90</v>
      </c>
      <c r="G23" s="10" t="s">
        <v>91</v>
      </c>
      <c r="H23" s="14">
        <v>0.75</v>
      </c>
      <c r="I23" s="14">
        <v>0.8</v>
      </c>
      <c r="J23" s="14">
        <v>4</v>
      </c>
      <c r="K23" s="14">
        <v>15</v>
      </c>
      <c r="L23" s="14">
        <v>0.51100000000000001</v>
      </c>
      <c r="M23" s="14"/>
      <c r="N23" s="14"/>
      <c r="O23" s="14">
        <v>0.73</v>
      </c>
      <c r="P23" s="14">
        <v>2000000</v>
      </c>
      <c r="R23" t="s">
        <v>128</v>
      </c>
      <c r="S23" t="s">
        <v>128</v>
      </c>
      <c r="T23" t="s">
        <v>117</v>
      </c>
      <c r="U23" t="s">
        <v>117</v>
      </c>
      <c r="V23" t="s">
        <v>128</v>
      </c>
      <c r="W23" t="s">
        <v>129</v>
      </c>
      <c r="X23" t="s">
        <v>117</v>
      </c>
      <c r="Y23" s="22"/>
      <c r="Z23" s="37" t="s">
        <v>119</v>
      </c>
    </row>
    <row r="24" spans="1:26">
      <c r="A24" s="4">
        <v>20</v>
      </c>
      <c r="B24" s="26" t="s">
        <v>88</v>
      </c>
      <c r="C24" s="9" t="s">
        <v>69</v>
      </c>
      <c r="D24" s="10" t="s">
        <v>84</v>
      </c>
      <c r="E24" s="10" t="s">
        <v>85</v>
      </c>
      <c r="F24" s="10" t="s">
        <v>86</v>
      </c>
      <c r="G24" s="10" t="s">
        <v>87</v>
      </c>
      <c r="H24" s="14">
        <v>0.8</v>
      </c>
      <c r="I24" s="14">
        <v>0.71399999999999997</v>
      </c>
      <c r="J24" s="14">
        <v>2</v>
      </c>
      <c r="K24" s="14">
        <v>4.8499999999999996</v>
      </c>
      <c r="L24" s="14">
        <v>2.7229999999999999</v>
      </c>
      <c r="M24" s="14"/>
      <c r="N24" s="14"/>
      <c r="O24" s="14">
        <v>0.67500000000000004</v>
      </c>
      <c r="P24" s="14">
        <v>540</v>
      </c>
      <c r="R24" t="s">
        <v>126</v>
      </c>
      <c r="T24" t="s">
        <v>127</v>
      </c>
      <c r="V24" t="s">
        <v>127</v>
      </c>
      <c r="X24" t="s">
        <v>127</v>
      </c>
      <c r="Y24" s="22"/>
      <c r="Z24" s="37" t="s">
        <v>119</v>
      </c>
    </row>
    <row r="25" spans="1:26">
      <c r="A25" s="4">
        <v>21</v>
      </c>
      <c r="B25" s="26" t="s">
        <v>96</v>
      </c>
      <c r="C25" s="9" t="s">
        <v>69</v>
      </c>
      <c r="D25" s="10" t="s">
        <v>84</v>
      </c>
      <c r="E25" s="10" t="s">
        <v>93</v>
      </c>
      <c r="F25" s="10" t="s">
        <v>94</v>
      </c>
      <c r="G25" s="10" t="s">
        <v>95</v>
      </c>
      <c r="H25" s="14">
        <v>0.8</v>
      </c>
      <c r="I25" s="14">
        <v>1.5</v>
      </c>
      <c r="J25" s="14">
        <v>3.5</v>
      </c>
      <c r="K25" s="14">
        <v>8</v>
      </c>
      <c r="L25" s="14">
        <v>1.06</v>
      </c>
      <c r="M25" s="14">
        <v>3.11</v>
      </c>
      <c r="N25" s="14">
        <v>1.47</v>
      </c>
      <c r="O25" s="14">
        <v>1.1599999999999999</v>
      </c>
      <c r="P25" s="14">
        <v>1500</v>
      </c>
      <c r="R25" t="s">
        <v>130</v>
      </c>
      <c r="S25" t="s">
        <v>131</v>
      </c>
      <c r="T25" t="s">
        <v>132</v>
      </c>
      <c r="V25" t="s">
        <v>133</v>
      </c>
      <c r="X25" t="s">
        <v>133</v>
      </c>
      <c r="Y25" s="22"/>
      <c r="Z25" s="37" t="s">
        <v>134</v>
      </c>
    </row>
    <row r="26" spans="1:26">
      <c r="A26" s="4">
        <v>22</v>
      </c>
      <c r="B26" s="26" t="s">
        <v>100</v>
      </c>
      <c r="C26" s="9" t="s">
        <v>69</v>
      </c>
      <c r="D26" s="10" t="s">
        <v>84</v>
      </c>
      <c r="E26" s="10" t="s">
        <v>97</v>
      </c>
      <c r="F26" s="10" t="s">
        <v>98</v>
      </c>
      <c r="G26" s="10" t="s">
        <v>99</v>
      </c>
      <c r="H26" s="14">
        <v>0.8</v>
      </c>
      <c r="I26" s="14">
        <v>20</v>
      </c>
      <c r="J26" s="14">
        <v>119</v>
      </c>
      <c r="K26" s="14">
        <v>250</v>
      </c>
      <c r="L26" s="14">
        <v>0.22000000000000003</v>
      </c>
      <c r="M26" s="14"/>
      <c r="N26" s="14"/>
      <c r="O26" s="14">
        <v>0.18500000000000003</v>
      </c>
      <c r="P26" s="14">
        <v>15000000</v>
      </c>
      <c r="R26" t="s">
        <v>135</v>
      </c>
      <c r="S26" t="s">
        <v>131</v>
      </c>
      <c r="T26" t="s">
        <v>132</v>
      </c>
      <c r="V26" t="s">
        <v>136</v>
      </c>
      <c r="X26" t="s">
        <v>136</v>
      </c>
      <c r="Y26" s="22">
        <v>12</v>
      </c>
      <c r="Z26" s="37" t="s">
        <v>134</v>
      </c>
    </row>
    <row r="27" spans="1:26">
      <c r="A27" s="4">
        <v>23</v>
      </c>
      <c r="B27" s="26" t="s">
        <v>104</v>
      </c>
      <c r="C27" s="9" t="s">
        <v>69</v>
      </c>
      <c r="D27" s="10" t="s">
        <v>84</v>
      </c>
      <c r="E27" s="10" t="s">
        <v>101</v>
      </c>
      <c r="F27" s="10" t="s">
        <v>102</v>
      </c>
      <c r="G27" s="10" t="s">
        <v>103</v>
      </c>
      <c r="H27" s="14">
        <v>0.8</v>
      </c>
      <c r="I27" s="14">
        <v>23</v>
      </c>
      <c r="J27" s="14">
        <v>97</v>
      </c>
      <c r="K27" s="14">
        <v>274</v>
      </c>
      <c r="L27" s="14">
        <v>9.2999999999999999E-2</v>
      </c>
      <c r="M27" s="14"/>
      <c r="N27" s="25"/>
      <c r="O27" s="25">
        <v>4.2000000000000003E-2</v>
      </c>
      <c r="P27" s="25">
        <v>3000000</v>
      </c>
      <c r="R27" t="s">
        <v>137</v>
      </c>
      <c r="S27" t="s">
        <v>131</v>
      </c>
      <c r="T27" t="s">
        <v>132</v>
      </c>
      <c r="V27" t="s">
        <v>138</v>
      </c>
      <c r="X27" t="s">
        <v>138</v>
      </c>
      <c r="Y27" s="22"/>
      <c r="Z27" s="37" t="s">
        <v>134</v>
      </c>
    </row>
    <row r="28" spans="1:26">
      <c r="A28" s="4">
        <v>24</v>
      </c>
      <c r="B28" s="26" t="s">
        <v>108</v>
      </c>
      <c r="C28" s="9" t="s">
        <v>69</v>
      </c>
      <c r="D28" s="10" t="s">
        <v>84</v>
      </c>
      <c r="E28" s="10" t="s">
        <v>105</v>
      </c>
      <c r="F28" s="10" t="s">
        <v>106</v>
      </c>
      <c r="G28" s="10" t="s">
        <v>107</v>
      </c>
      <c r="H28" s="14">
        <v>0.8</v>
      </c>
      <c r="I28" s="25">
        <v>0.5</v>
      </c>
      <c r="J28" s="14">
        <v>32</v>
      </c>
      <c r="K28" s="14">
        <v>56</v>
      </c>
      <c r="L28" s="14">
        <v>0.41000000000000003</v>
      </c>
      <c r="M28" s="14"/>
      <c r="N28" s="25"/>
      <c r="O28" s="25">
        <v>0.24000000000000002</v>
      </c>
      <c r="P28" s="25">
        <v>538000</v>
      </c>
      <c r="R28" t="s">
        <v>150</v>
      </c>
      <c r="S28" t="s">
        <v>132</v>
      </c>
      <c r="T28" t="s">
        <v>132</v>
      </c>
      <c r="V28" t="s">
        <v>139</v>
      </c>
      <c r="X28" t="s">
        <v>139</v>
      </c>
      <c r="Y28" s="22"/>
      <c r="Z28" s="37" t="s">
        <v>134</v>
      </c>
    </row>
    <row r="29" spans="1:26">
      <c r="A29" s="4">
        <v>25</v>
      </c>
      <c r="B29" s="26" t="s">
        <v>113</v>
      </c>
      <c r="C29" s="9" t="s">
        <v>69</v>
      </c>
      <c r="D29" s="10" t="s">
        <v>109</v>
      </c>
      <c r="E29" s="10" t="s">
        <v>110</v>
      </c>
      <c r="F29" s="10" t="s">
        <v>111</v>
      </c>
      <c r="G29" s="10" t="s">
        <v>112</v>
      </c>
      <c r="H29" s="14">
        <v>0.8</v>
      </c>
      <c r="I29" s="14">
        <v>58</v>
      </c>
      <c r="J29" s="14">
        <v>200</v>
      </c>
      <c r="K29" s="14">
        <v>280</v>
      </c>
      <c r="L29" s="14">
        <v>0.18</v>
      </c>
      <c r="M29" s="14">
        <v>0.12</v>
      </c>
      <c r="N29" s="25">
        <v>0.21</v>
      </c>
      <c r="O29" s="25">
        <v>0.111</v>
      </c>
      <c r="P29" s="25">
        <v>7.5</v>
      </c>
      <c r="R29" t="s">
        <v>132</v>
      </c>
      <c r="S29" t="s">
        <v>132</v>
      </c>
      <c r="T29" t="s">
        <v>140</v>
      </c>
      <c r="V29" t="s">
        <v>140</v>
      </c>
      <c r="X29" t="s">
        <v>140</v>
      </c>
      <c r="Y29" s="22"/>
      <c r="Z29" s="37" t="s">
        <v>141</v>
      </c>
    </row>
    <row r="30" spans="1:26">
      <c r="A30" s="4">
        <v>30</v>
      </c>
      <c r="B30" t="s">
        <v>147</v>
      </c>
      <c r="C30" s="29" t="s">
        <v>149</v>
      </c>
      <c r="D30" t="s">
        <v>109</v>
      </c>
      <c r="E30" t="s">
        <v>114</v>
      </c>
      <c r="F30" t="s">
        <v>156</v>
      </c>
      <c r="G30" t="s">
        <v>167</v>
      </c>
      <c r="H30" s="16">
        <v>0.8</v>
      </c>
      <c r="I30" s="16">
        <v>130</v>
      </c>
      <c r="J30" s="16">
        <v>380</v>
      </c>
      <c r="K30" s="16">
        <v>550</v>
      </c>
      <c r="M30" s="25">
        <f>-LN(GEOMEAN(0.63,0.95,0.95,0.95,0.95,0.95,0.95,0.95,0.95,0.95))</f>
        <v>9.236751090845137E-2</v>
      </c>
      <c r="N30" s="25">
        <v>5.000000000000001E-2</v>
      </c>
      <c r="O30" s="25">
        <v>0.18</v>
      </c>
      <c r="P30" s="25">
        <v>1</v>
      </c>
      <c r="Q30" s="30" t="s">
        <v>181</v>
      </c>
    </row>
    <row r="31" spans="1:26">
      <c r="A31" s="4">
        <v>31</v>
      </c>
      <c r="B31" t="s">
        <v>153</v>
      </c>
      <c r="C31" s="29" t="s">
        <v>149</v>
      </c>
      <c r="D31" t="s">
        <v>109</v>
      </c>
      <c r="E31" t="s">
        <v>114</v>
      </c>
      <c r="F31" t="s">
        <v>156</v>
      </c>
      <c r="G31" t="s">
        <v>168</v>
      </c>
      <c r="H31" s="16">
        <v>0.97360000000000002</v>
      </c>
      <c r="I31" s="16">
        <v>200</v>
      </c>
      <c r="J31" s="16">
        <v>448</v>
      </c>
      <c r="K31" s="16">
        <v>790</v>
      </c>
      <c r="M31" s="25">
        <f>-LN(GEOMEAN(0.63,0.95,0.95,0.95,0.95,0.95,0.95,0.95,0.95))</f>
        <v>9.6931312744107073E-2</v>
      </c>
      <c r="N31" s="25">
        <v>0.04</v>
      </c>
      <c r="O31" s="25">
        <v>0.1</v>
      </c>
      <c r="P31" s="25">
        <v>1</v>
      </c>
      <c r="Q31" s="30" t="s">
        <v>181</v>
      </c>
    </row>
    <row r="32" spans="1:26">
      <c r="A32" s="4">
        <v>32</v>
      </c>
      <c r="B32" t="s">
        <v>152</v>
      </c>
      <c r="C32" s="29" t="s">
        <v>149</v>
      </c>
      <c r="D32" t="s">
        <v>109</v>
      </c>
      <c r="E32" t="s">
        <v>114</v>
      </c>
      <c r="F32" t="s">
        <v>156</v>
      </c>
      <c r="G32" t="s">
        <v>169</v>
      </c>
      <c r="H32" s="16">
        <v>0.96930000000000005</v>
      </c>
      <c r="I32" s="16">
        <v>100</v>
      </c>
      <c r="J32" s="16">
        <v>217</v>
      </c>
      <c r="K32" s="16">
        <v>310</v>
      </c>
      <c r="M32" s="25">
        <f>N32</f>
        <v>8.6999999999999994E-2</v>
      </c>
      <c r="N32" s="25">
        <v>8.6999999999999994E-2</v>
      </c>
      <c r="O32" s="25">
        <v>0.12</v>
      </c>
      <c r="P32" s="25">
        <v>1.5</v>
      </c>
      <c r="Q32" s="30" t="s">
        <v>181</v>
      </c>
    </row>
    <row r="33" spans="1:17">
      <c r="A33" s="4">
        <v>33</v>
      </c>
      <c r="B33" t="s">
        <v>155</v>
      </c>
      <c r="C33" s="29" t="s">
        <v>149</v>
      </c>
      <c r="D33" t="s">
        <v>109</v>
      </c>
      <c r="E33" t="s">
        <v>114</v>
      </c>
      <c r="F33" t="s">
        <v>156</v>
      </c>
      <c r="G33" t="s">
        <v>154</v>
      </c>
      <c r="H33" s="16">
        <v>0.8</v>
      </c>
      <c r="I33" s="16">
        <v>90</v>
      </c>
      <c r="J33" s="16">
        <v>164</v>
      </c>
      <c r="K33" s="16">
        <v>197</v>
      </c>
      <c r="M33" s="25">
        <f>M32</f>
        <v>8.6999999999999994E-2</v>
      </c>
      <c r="N33" s="34">
        <f>N32</f>
        <v>8.6999999999999994E-2</v>
      </c>
      <c r="O33" s="25">
        <v>0.12</v>
      </c>
      <c r="P33" s="25">
        <v>1</v>
      </c>
      <c r="Q33" s="30" t="s">
        <v>181</v>
      </c>
    </row>
    <row r="34" spans="1:17">
      <c r="A34" s="4">
        <v>34</v>
      </c>
      <c r="B34" t="s">
        <v>157</v>
      </c>
      <c r="C34" s="29" t="s">
        <v>149</v>
      </c>
      <c r="D34" t="s">
        <v>109</v>
      </c>
      <c r="E34" t="s">
        <v>178</v>
      </c>
      <c r="F34" t="s">
        <v>179</v>
      </c>
      <c r="G34" t="s">
        <v>170</v>
      </c>
      <c r="H34" s="16">
        <v>0.8</v>
      </c>
      <c r="I34" s="16">
        <v>62</v>
      </c>
      <c r="J34" s="16">
        <v>155</v>
      </c>
      <c r="K34" s="16">
        <v>180</v>
      </c>
      <c r="M34" s="25">
        <f>-LN(0.26^(1/7))</f>
        <v>0.19243909256665848</v>
      </c>
      <c r="N34" s="25">
        <f>-LN(0.25^(1/18))</f>
        <v>7.701635339554945E-2</v>
      </c>
      <c r="O34" s="25">
        <v>0.24</v>
      </c>
      <c r="P34" s="25">
        <v>11</v>
      </c>
      <c r="Q34" s="30" t="s">
        <v>181</v>
      </c>
    </row>
    <row r="35" spans="1:17">
      <c r="A35" s="4">
        <v>35</v>
      </c>
      <c r="B35" t="s">
        <v>158</v>
      </c>
      <c r="C35" s="29" t="s">
        <v>149</v>
      </c>
      <c r="D35" t="s">
        <v>109</v>
      </c>
      <c r="E35" t="s">
        <v>178</v>
      </c>
      <c r="F35" t="s">
        <v>179</v>
      </c>
      <c r="G35" t="s">
        <v>171</v>
      </c>
      <c r="H35" s="16">
        <v>0.8</v>
      </c>
      <c r="I35" s="16">
        <v>60</v>
      </c>
      <c r="J35" s="16">
        <v>118</v>
      </c>
      <c r="K35" s="16">
        <v>207.8</v>
      </c>
      <c r="M35" s="25">
        <f>'[1]mortality whitetip and gray'!F56</f>
        <v>0</v>
      </c>
      <c r="N35" s="25">
        <f>'[1]mortality whitetip and gray'!F57</f>
        <v>0</v>
      </c>
      <c r="O35" s="25">
        <v>0.05</v>
      </c>
      <c r="P35" s="25">
        <f>4/2</f>
        <v>2</v>
      </c>
      <c r="Q35" s="30" t="s">
        <v>181</v>
      </c>
    </row>
    <row r="36" spans="1:17">
      <c r="A36" s="4">
        <v>36</v>
      </c>
      <c r="B36" t="s">
        <v>159</v>
      </c>
      <c r="C36" s="29" t="s">
        <v>149</v>
      </c>
      <c r="D36" t="s">
        <v>109</v>
      </c>
      <c r="E36" t="s">
        <v>178</v>
      </c>
      <c r="F36" t="s">
        <v>179</v>
      </c>
      <c r="G36" t="s">
        <v>172</v>
      </c>
      <c r="H36" s="16">
        <v>0.8</v>
      </c>
      <c r="I36" s="16">
        <v>57</v>
      </c>
      <c r="J36" s="16">
        <v>136</v>
      </c>
      <c r="K36" s="16">
        <v>229.2</v>
      </c>
      <c r="M36" s="25">
        <f>'[1]mortality whitetip and gray'!J56</f>
        <v>0</v>
      </c>
      <c r="N36" s="25">
        <f>'[1]mortality whitetip and gray'!J57</f>
        <v>0</v>
      </c>
      <c r="O36" s="25">
        <v>0.05</v>
      </c>
      <c r="P36" s="25">
        <f>4/2</f>
        <v>2</v>
      </c>
      <c r="Q36" s="30" t="s">
        <v>181</v>
      </c>
    </row>
    <row r="37" spans="1:17">
      <c r="A37" s="4">
        <v>37</v>
      </c>
      <c r="B37" t="s">
        <v>160</v>
      </c>
      <c r="C37" s="29" t="s">
        <v>149</v>
      </c>
      <c r="D37" t="s">
        <v>109</v>
      </c>
      <c r="E37" t="s">
        <v>178</v>
      </c>
      <c r="F37" t="s">
        <v>179</v>
      </c>
      <c r="G37" t="s">
        <v>173</v>
      </c>
      <c r="H37" s="16">
        <v>0.8</v>
      </c>
      <c r="I37" s="16">
        <v>61.15</v>
      </c>
      <c r="J37" s="16">
        <v>240</v>
      </c>
      <c r="K37" s="16">
        <v>400</v>
      </c>
      <c r="M37" s="25">
        <f>-LN(0.12^(1/12.7))</f>
        <v>0.16694988474016462</v>
      </c>
      <c r="N37" s="25">
        <f>-LN(0.18^(1/25))</f>
        <v>6.8591937123677005E-2</v>
      </c>
      <c r="O37" s="25">
        <v>7.6999999999999999E-2</v>
      </c>
      <c r="P37" s="25">
        <f>17/2</f>
        <v>8.5</v>
      </c>
      <c r="Q37" s="30" t="s">
        <v>181</v>
      </c>
    </row>
    <row r="38" spans="1:17">
      <c r="A38" s="4">
        <v>38</v>
      </c>
      <c r="B38" t="s">
        <v>161</v>
      </c>
      <c r="C38" s="29" t="s">
        <v>149</v>
      </c>
      <c r="D38" t="s">
        <v>109</v>
      </c>
      <c r="E38" t="s">
        <v>178</v>
      </c>
      <c r="F38" t="s">
        <v>179</v>
      </c>
      <c r="G38" t="s">
        <v>174</v>
      </c>
      <c r="H38" s="16">
        <v>0.97960000000000003</v>
      </c>
      <c r="I38" s="16">
        <v>80</v>
      </c>
      <c r="J38" s="16">
        <v>330</v>
      </c>
      <c r="K38" s="16">
        <v>464</v>
      </c>
      <c r="M38" s="25">
        <f>-LN(0.02^(1/9))</f>
        <v>0.43466922282534948</v>
      </c>
      <c r="N38" s="25">
        <f>-LN(0.16^(1/28))</f>
        <v>6.5449337991011047E-2</v>
      </c>
      <c r="O38" s="25">
        <v>0.31</v>
      </c>
      <c r="P38" s="25">
        <f>82/2</f>
        <v>41</v>
      </c>
      <c r="Q38" s="30" t="s">
        <v>181</v>
      </c>
    </row>
    <row r="39" spans="1:17">
      <c r="A39" s="4">
        <v>39</v>
      </c>
      <c r="B39" t="s">
        <v>61</v>
      </c>
      <c r="C39" s="29" t="s">
        <v>149</v>
      </c>
      <c r="D39" t="s">
        <v>8</v>
      </c>
      <c r="E39" t="s">
        <v>52</v>
      </c>
      <c r="F39" t="s">
        <v>180</v>
      </c>
      <c r="G39" t="s">
        <v>60</v>
      </c>
      <c r="H39" s="16">
        <v>0.92</v>
      </c>
      <c r="I39" s="16">
        <v>7</v>
      </c>
      <c r="J39" s="16">
        <v>121</v>
      </c>
      <c r="K39" s="16">
        <v>175</v>
      </c>
      <c r="M39" s="25">
        <f>-LN(0.63)</f>
        <v>0.46203545959655867</v>
      </c>
      <c r="N39" s="35">
        <f>-LN(0.893)</f>
        <v>0.11316869810563798</v>
      </c>
      <c r="O39" s="35">
        <v>0.124587</v>
      </c>
      <c r="P39" s="34">
        <f>(65*6.17)/2</f>
        <v>200.52500000000001</v>
      </c>
      <c r="Q39" s="30" t="s">
        <v>181</v>
      </c>
    </row>
    <row r="40" spans="1:17">
      <c r="A40" s="4">
        <v>40</v>
      </c>
      <c r="B40" t="s">
        <v>162</v>
      </c>
      <c r="C40" s="29" t="s">
        <v>149</v>
      </c>
      <c r="D40" t="s">
        <v>8</v>
      </c>
      <c r="E40" t="s">
        <v>52</v>
      </c>
      <c r="F40" t="s">
        <v>180</v>
      </c>
      <c r="G40" t="s">
        <v>175</v>
      </c>
      <c r="H40" s="16">
        <v>0.72450000000000003</v>
      </c>
      <c r="I40" s="16">
        <v>5</v>
      </c>
      <c r="J40" s="16">
        <v>80</v>
      </c>
      <c r="K40" s="16">
        <v>99</v>
      </c>
      <c r="M40" s="25">
        <f>-LN(0.88)</f>
        <v>0.12783337150988489</v>
      </c>
      <c r="N40" s="25">
        <f>-LN(0.95)</f>
        <v>5.1293294387550578E-2</v>
      </c>
      <c r="O40" s="35">
        <v>8.8700000000000001E-2</v>
      </c>
      <c r="P40" s="34">
        <v>110</v>
      </c>
      <c r="Q40" s="30" t="s">
        <v>181</v>
      </c>
    </row>
    <row r="41" spans="1:17">
      <c r="A41" s="4">
        <v>41</v>
      </c>
      <c r="B41" t="s">
        <v>163</v>
      </c>
      <c r="C41" s="29" t="s">
        <v>149</v>
      </c>
      <c r="D41" t="s">
        <v>8</v>
      </c>
      <c r="E41" t="s">
        <v>52</v>
      </c>
      <c r="F41" t="s">
        <v>180</v>
      </c>
      <c r="G41" t="s">
        <v>176</v>
      </c>
      <c r="H41" s="16">
        <v>0.64810000000000001</v>
      </c>
      <c r="I41" s="16">
        <v>4.5</v>
      </c>
      <c r="J41" s="16">
        <v>80</v>
      </c>
      <c r="K41" s="16">
        <v>125</v>
      </c>
      <c r="M41" s="25">
        <f>-LN(0.79)</f>
        <v>0.23572233352106983</v>
      </c>
      <c r="N41" s="25">
        <f>-LN(0.91)</f>
        <v>9.431067947124129E-2</v>
      </c>
      <c r="O41" s="25">
        <v>0.12</v>
      </c>
      <c r="P41" s="36">
        <f>0.7671*365</f>
        <v>279.99149999999997</v>
      </c>
      <c r="Q41" s="30" t="s">
        <v>181</v>
      </c>
    </row>
    <row r="42" spans="1:17">
      <c r="A42" s="4">
        <v>42</v>
      </c>
      <c r="B42" t="s">
        <v>164</v>
      </c>
      <c r="C42" s="29" t="s">
        <v>149</v>
      </c>
      <c r="D42" t="s">
        <v>8</v>
      </c>
      <c r="E42" t="s">
        <v>52</v>
      </c>
      <c r="F42" t="s">
        <v>180</v>
      </c>
      <c r="G42" t="s">
        <v>177</v>
      </c>
      <c r="H42" s="16">
        <v>0.8</v>
      </c>
      <c r="I42" s="16">
        <v>4.13</v>
      </c>
      <c r="J42" s="16">
        <v>78.599999999999994</v>
      </c>
      <c r="K42" s="16">
        <v>105</v>
      </c>
      <c r="M42" s="25">
        <f>-LN(0.79)</f>
        <v>0.23572233352106983</v>
      </c>
      <c r="N42" s="25">
        <f>-LN(0.94)</f>
        <v>6.1875403718087529E-2</v>
      </c>
      <c r="O42" s="25">
        <v>0.09</v>
      </c>
      <c r="P42" s="34">
        <v>288</v>
      </c>
      <c r="Q42" s="30" t="s">
        <v>181</v>
      </c>
    </row>
    <row r="43" spans="1:17">
      <c r="A43" s="4">
        <v>43</v>
      </c>
      <c r="B43" t="s">
        <v>194</v>
      </c>
      <c r="C43" s="29" t="s">
        <v>195</v>
      </c>
      <c r="D43" t="s">
        <v>8</v>
      </c>
      <c r="G43" t="s">
        <v>196</v>
      </c>
      <c r="H43" s="16">
        <v>0.8</v>
      </c>
      <c r="I43" s="16">
        <v>27</v>
      </c>
      <c r="J43" s="16">
        <v>236</v>
      </c>
      <c r="K43" s="16">
        <v>344</v>
      </c>
      <c r="M43" s="16">
        <v>0.46</v>
      </c>
      <c r="N43" s="16">
        <v>0.21</v>
      </c>
      <c r="O43" s="16">
        <v>0.111</v>
      </c>
      <c r="P43" s="16">
        <v>7.5</v>
      </c>
    </row>
    <row r="44" spans="1:17">
      <c r="A44" s="4">
        <v>44</v>
      </c>
      <c r="B44" t="s">
        <v>197</v>
      </c>
      <c r="C44" s="29" t="s">
        <v>195</v>
      </c>
      <c r="D44" t="s">
        <v>8</v>
      </c>
      <c r="G44" t="s">
        <v>198</v>
      </c>
      <c r="H44" s="16">
        <v>0.8</v>
      </c>
      <c r="I44" s="16">
        <v>21.9</v>
      </c>
      <c r="J44" s="16">
        <v>90</v>
      </c>
      <c r="K44" s="16">
        <v>117</v>
      </c>
      <c r="M44" s="16">
        <v>0.54</v>
      </c>
      <c r="N44" s="16">
        <v>0.06</v>
      </c>
      <c r="O44" s="16">
        <v>0.11</v>
      </c>
      <c r="P44" s="16">
        <v>6</v>
      </c>
    </row>
    <row r="45" spans="1:17">
      <c r="A45" s="4">
        <v>45</v>
      </c>
      <c r="B45" t="s">
        <v>199</v>
      </c>
      <c r="C45" s="29" t="s">
        <v>195</v>
      </c>
      <c r="D45" t="s">
        <v>8</v>
      </c>
      <c r="G45" t="s">
        <v>200</v>
      </c>
      <c r="H45" s="16">
        <v>0.8</v>
      </c>
      <c r="I45" s="16">
        <v>24</v>
      </c>
      <c r="J45" s="16">
        <v>48</v>
      </c>
      <c r="K45" s="16">
        <v>57.25</v>
      </c>
      <c r="M45" s="16">
        <v>1.61</v>
      </c>
      <c r="N45" s="16">
        <v>0.93</v>
      </c>
      <c r="O45" s="16">
        <v>0.85</v>
      </c>
      <c r="P45" s="16">
        <v>2</v>
      </c>
    </row>
    <row r="46" spans="1:17">
      <c r="A46" s="4">
        <v>46</v>
      </c>
      <c r="B46" t="s">
        <v>201</v>
      </c>
      <c r="C46" s="29" t="s">
        <v>195</v>
      </c>
      <c r="D46" t="s">
        <v>8</v>
      </c>
      <c r="G46" t="s">
        <v>202</v>
      </c>
      <c r="H46" s="16">
        <v>0.8</v>
      </c>
      <c r="I46" s="16">
        <v>25</v>
      </c>
      <c r="J46" s="16">
        <v>58</v>
      </c>
      <c r="K46" s="16">
        <v>80</v>
      </c>
      <c r="M46" s="16">
        <v>2.81</v>
      </c>
      <c r="N46" s="16">
        <v>1.18</v>
      </c>
      <c r="O46" s="16">
        <v>0.41399999999999998</v>
      </c>
      <c r="P46" s="16">
        <v>23</v>
      </c>
    </row>
    <row r="47" spans="1:17">
      <c r="A47" s="4">
        <v>47</v>
      </c>
      <c r="B47" t="s">
        <v>203</v>
      </c>
      <c r="C47" s="29" t="s">
        <v>195</v>
      </c>
      <c r="D47" t="s">
        <v>8</v>
      </c>
      <c r="G47" t="s">
        <v>204</v>
      </c>
      <c r="H47" s="16">
        <v>0.91</v>
      </c>
      <c r="I47" s="16">
        <v>3</v>
      </c>
      <c r="J47" s="16">
        <v>50</v>
      </c>
      <c r="K47" s="16">
        <v>180</v>
      </c>
      <c r="M47" s="16">
        <v>2.12</v>
      </c>
      <c r="N47" s="16">
        <v>1.83</v>
      </c>
      <c r="O47" s="16">
        <v>0.4</v>
      </c>
      <c r="P47" s="16">
        <v>424</v>
      </c>
    </row>
    <row r="48" spans="1:17">
      <c r="A48" s="4">
        <v>48</v>
      </c>
      <c r="B48" t="s">
        <v>205</v>
      </c>
      <c r="C48" s="29" t="s">
        <v>195</v>
      </c>
      <c r="D48" t="s">
        <v>8</v>
      </c>
      <c r="G48" t="s">
        <v>206</v>
      </c>
      <c r="H48" s="16">
        <v>0.8</v>
      </c>
      <c r="I48" s="16">
        <v>45</v>
      </c>
      <c r="J48" s="16">
        <v>201</v>
      </c>
      <c r="K48" s="16">
        <v>383</v>
      </c>
      <c r="M48" s="16">
        <v>0.64</v>
      </c>
      <c r="N48" s="16">
        <v>0.23</v>
      </c>
      <c r="O48" s="16">
        <v>0.1</v>
      </c>
      <c r="P48" s="16">
        <v>33</v>
      </c>
    </row>
    <row r="49" spans="1:16">
      <c r="A49" s="4">
        <v>49</v>
      </c>
      <c r="B49" t="s">
        <v>207</v>
      </c>
      <c r="C49" s="29" t="s">
        <v>195</v>
      </c>
      <c r="G49" t="s">
        <v>209</v>
      </c>
      <c r="H49" s="16">
        <v>0.97</v>
      </c>
      <c r="I49" s="16">
        <v>5</v>
      </c>
      <c r="J49" s="16">
        <v>150</v>
      </c>
      <c r="K49" s="16">
        <v>265</v>
      </c>
      <c r="M49" s="16">
        <v>1.24</v>
      </c>
      <c r="N49" s="16">
        <v>0.12</v>
      </c>
      <c r="O49" s="16">
        <v>0.17299999999999999</v>
      </c>
      <c r="P49" s="16">
        <f>15.4*6^28</f>
        <v>9.4570510102758169E+22</v>
      </c>
    </row>
    <row r="50" spans="1:16">
      <c r="A50" s="4">
        <v>50</v>
      </c>
      <c r="B50" t="s">
        <v>208</v>
      </c>
      <c r="C50" s="29" t="s">
        <v>195</v>
      </c>
      <c r="D50" t="s">
        <v>8</v>
      </c>
      <c r="G50" t="s">
        <v>210</v>
      </c>
      <c r="H50" s="16">
        <v>0.8</v>
      </c>
      <c r="I50" s="16">
        <v>187.7</v>
      </c>
      <c r="J50" s="16">
        <v>400</v>
      </c>
      <c r="K50" s="16">
        <v>700</v>
      </c>
      <c r="M50" s="16">
        <v>1.1100000000000001</v>
      </c>
      <c r="N50" s="16">
        <v>0.28999999999999998</v>
      </c>
      <c r="O50" s="16">
        <v>0.39600000000000002</v>
      </c>
      <c r="P50" s="16">
        <v>14.35</v>
      </c>
    </row>
  </sheetData>
  <pageMargins left="0.7" right="0.7" top="0.75" bottom="0.75" header="0.3" footer="0.3"/>
  <pageSetup paperSize="9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DEB-IPM project</vt:lpstr>
    </vt:vector>
  </TitlesOfParts>
  <Company>Universiteit van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IMS</dc:creator>
  <cp:lastModifiedBy>IMS</cp:lastModifiedBy>
  <dcterms:created xsi:type="dcterms:W3CDTF">2019-09-20T10:11:09Z</dcterms:created>
  <dcterms:modified xsi:type="dcterms:W3CDTF">2021-09-06T14:16:12Z</dcterms:modified>
</cp:coreProperties>
</file>