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\Dropbox\Alex\leipzig\Kalkulation\"/>
    </mc:Choice>
  </mc:AlternateContent>
  <xr:revisionPtr revIDLastSave="0" documentId="8_{4CC030A6-46C5-446B-8F0A-94344229F60F}" xr6:coauthVersionLast="46" xr6:coauthVersionMax="46" xr10:uidLastSave="{00000000-0000-0000-0000-000000000000}"/>
  <bookViews>
    <workbookView xWindow="-108" yWindow="-108" windowWidth="23256" windowHeight="13176" xr2:uid="{3C2892A7-7A34-43B8-ACB0-F0C007C79813}"/>
  </bookViews>
  <sheets>
    <sheet name="Cost Calculation" sheetId="3" r:id="rId1"/>
    <sheet name="Cost Calculation 90% Rejection" sheetId="4" r:id="rId2"/>
    <sheet name="Staff Expenses" sheetId="2" r:id="rId3"/>
    <sheet name="Comparison Rejections Rate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5" l="1"/>
  <c r="W26" i="4"/>
  <c r="W29" i="4" s="1"/>
  <c r="T66" i="4"/>
  <c r="R66" i="4"/>
  <c r="N66" i="4"/>
  <c r="P66" i="4" s="1"/>
  <c r="L66" i="4"/>
  <c r="J66" i="4"/>
  <c r="T65" i="4"/>
  <c r="R65" i="4"/>
  <c r="P65" i="4"/>
  <c r="N65" i="4"/>
  <c r="L65" i="4"/>
  <c r="J65" i="4"/>
  <c r="R64" i="4"/>
  <c r="T64" i="4" s="1"/>
  <c r="N64" i="4"/>
  <c r="P64" i="4" s="1"/>
  <c r="L64" i="4"/>
  <c r="J64" i="4"/>
  <c r="W63" i="4"/>
  <c r="T63" i="4"/>
  <c r="R63" i="4"/>
  <c r="P63" i="4"/>
  <c r="N63" i="4"/>
  <c r="L63" i="4"/>
  <c r="J63" i="4"/>
  <c r="R52" i="4"/>
  <c r="T52" i="4" s="1"/>
  <c r="N52" i="4"/>
  <c r="P52" i="4" s="1"/>
  <c r="R51" i="4"/>
  <c r="T51" i="4" s="1"/>
  <c r="N51" i="4"/>
  <c r="P51" i="4" s="1"/>
  <c r="L51" i="4"/>
  <c r="R50" i="4"/>
  <c r="P50" i="4"/>
  <c r="N50" i="4"/>
  <c r="W49" i="4"/>
  <c r="W50" i="4" s="1"/>
  <c r="W51" i="4" s="1"/>
  <c r="T49" i="4"/>
  <c r="T50" i="4" s="1"/>
  <c r="P49" i="4"/>
  <c r="N49" i="4"/>
  <c r="L45" i="4"/>
  <c r="L52" i="4" s="1"/>
  <c r="J45" i="4"/>
  <c r="L44" i="4"/>
  <c r="J44" i="4"/>
  <c r="H43" i="4"/>
  <c r="L42" i="4"/>
  <c r="J42" i="4"/>
  <c r="L39" i="4"/>
  <c r="L50" i="4" s="1"/>
  <c r="J39" i="4"/>
  <c r="J50" i="4" s="1"/>
  <c r="R31" i="4"/>
  <c r="N31" i="4"/>
  <c r="R30" i="4"/>
  <c r="T30" i="4" s="1"/>
  <c r="P30" i="4"/>
  <c r="N30" i="4"/>
  <c r="J30" i="4"/>
  <c r="R29" i="4"/>
  <c r="J29" i="4"/>
  <c r="R28" i="4"/>
  <c r="R27" i="4"/>
  <c r="T27" i="4" s="1"/>
  <c r="T28" i="4" s="1"/>
  <c r="N27" i="4"/>
  <c r="N28" i="4" s="1"/>
  <c r="L27" i="4"/>
  <c r="L28" i="4" s="1"/>
  <c r="J27" i="4"/>
  <c r="J28" i="4" s="1"/>
  <c r="D4" i="5" s="1"/>
  <c r="N26" i="4"/>
  <c r="J26" i="4"/>
  <c r="R25" i="4"/>
  <c r="R26" i="4" s="1"/>
  <c r="R24" i="4"/>
  <c r="T24" i="4" s="1"/>
  <c r="T25" i="4" s="1"/>
  <c r="T26" i="4" s="1"/>
  <c r="N24" i="4"/>
  <c r="N25" i="4" s="1"/>
  <c r="L24" i="4"/>
  <c r="L25" i="4" s="1"/>
  <c r="J24" i="4"/>
  <c r="J25" i="4" s="1"/>
  <c r="W13" i="4"/>
  <c r="W24" i="4" s="1"/>
  <c r="W25" i="4" s="1"/>
  <c r="T65" i="3"/>
  <c r="J29" i="3"/>
  <c r="W29" i="3"/>
  <c r="R29" i="3"/>
  <c r="W64" i="3"/>
  <c r="R64" i="3"/>
  <c r="T64" i="3" s="1"/>
  <c r="N64" i="3"/>
  <c r="P64" i="3" s="1"/>
  <c r="J64" i="3"/>
  <c r="L64" i="3" s="1"/>
  <c r="W26" i="3"/>
  <c r="P26" i="3"/>
  <c r="N26" i="3"/>
  <c r="L26" i="3"/>
  <c r="J26" i="3"/>
  <c r="N52" i="3"/>
  <c r="P52" i="3" s="1"/>
  <c r="R52" i="3"/>
  <c r="T52" i="3" s="1"/>
  <c r="T66" i="3"/>
  <c r="R66" i="3"/>
  <c r="N66" i="3"/>
  <c r="P66" i="3" s="1"/>
  <c r="L66" i="3"/>
  <c r="J66" i="3"/>
  <c r="N51" i="3"/>
  <c r="P51" i="3" s="1"/>
  <c r="R51" i="3"/>
  <c r="T51" i="3" s="1"/>
  <c r="N30" i="3"/>
  <c r="J30" i="3"/>
  <c r="J31" i="3" s="1"/>
  <c r="L31" i="3" s="1"/>
  <c r="R31" i="3"/>
  <c r="R30" i="3"/>
  <c r="T30" i="3" s="1"/>
  <c r="T31" i="3" s="1"/>
  <c r="R65" i="3"/>
  <c r="P65" i="3"/>
  <c r="J65" i="3"/>
  <c r="L63" i="3"/>
  <c r="T63" i="3"/>
  <c r="N63" i="3"/>
  <c r="W63" i="3"/>
  <c r="J63" i="3"/>
  <c r="E4" i="5" l="1"/>
  <c r="T69" i="4"/>
  <c r="J49" i="4"/>
  <c r="R68" i="4"/>
  <c r="L29" i="3"/>
  <c r="P27" i="4"/>
  <c r="P28" i="4" s="1"/>
  <c r="P70" i="4" s="1"/>
  <c r="L49" i="4"/>
  <c r="J51" i="4"/>
  <c r="J72" i="4" s="1"/>
  <c r="J120" i="4" s="1"/>
  <c r="R70" i="4"/>
  <c r="J70" i="4"/>
  <c r="J98" i="4" s="1"/>
  <c r="R69" i="4"/>
  <c r="N69" i="4"/>
  <c r="J71" i="4"/>
  <c r="J109" i="4" s="1"/>
  <c r="P26" i="4"/>
  <c r="P69" i="4" s="1"/>
  <c r="P88" i="4" s="1"/>
  <c r="P90" i="4" s="1"/>
  <c r="R71" i="4"/>
  <c r="J52" i="4"/>
  <c r="P24" i="4"/>
  <c r="P25" i="4" s="1"/>
  <c r="L70" i="4"/>
  <c r="N72" i="4"/>
  <c r="N73" i="4" s="1"/>
  <c r="P68" i="4"/>
  <c r="C5" i="5"/>
  <c r="K5" i="5" s="1"/>
  <c r="T29" i="4"/>
  <c r="T71" i="4" s="1"/>
  <c r="T70" i="4"/>
  <c r="P91" i="4"/>
  <c r="W27" i="4"/>
  <c r="W71" i="4"/>
  <c r="J68" i="4"/>
  <c r="J76" i="4" s="1"/>
  <c r="L68" i="4"/>
  <c r="W52" i="4"/>
  <c r="P132" i="4"/>
  <c r="N68" i="4"/>
  <c r="P77" i="4" s="1"/>
  <c r="N70" i="4"/>
  <c r="P99" i="4" s="1"/>
  <c r="N29" i="4"/>
  <c r="N71" i="4" s="1"/>
  <c r="P72" i="4"/>
  <c r="J69" i="4"/>
  <c r="J87" i="4" s="1"/>
  <c r="T31" i="4"/>
  <c r="T72" i="4"/>
  <c r="T73" i="4" s="1"/>
  <c r="T68" i="4"/>
  <c r="J31" i="4"/>
  <c r="L31" i="4" s="1"/>
  <c r="R72" i="4"/>
  <c r="R73" i="4" s="1"/>
  <c r="W65" i="4"/>
  <c r="W66" i="4" s="1"/>
  <c r="W72" i="4" s="1"/>
  <c r="W73" i="4" s="1"/>
  <c r="L26" i="4"/>
  <c r="L29" i="4"/>
  <c r="L71" i="4" s="1"/>
  <c r="L30" i="4"/>
  <c r="L72" i="4" s="1"/>
  <c r="P31" i="4"/>
  <c r="W64" i="4"/>
  <c r="W69" i="4" s="1"/>
  <c r="T72" i="3"/>
  <c r="T73" i="3" s="1"/>
  <c r="N72" i="3"/>
  <c r="N73" i="3" s="1"/>
  <c r="R72" i="3"/>
  <c r="R73" i="3" s="1"/>
  <c r="L30" i="3"/>
  <c r="R28" i="3"/>
  <c r="R27" i="3"/>
  <c r="N27" i="3"/>
  <c r="P27" i="3" s="1"/>
  <c r="P28" i="3" s="1"/>
  <c r="P29" i="3" s="1"/>
  <c r="P71" i="3" s="1"/>
  <c r="L27" i="3"/>
  <c r="L28" i="3" s="1"/>
  <c r="J27" i="3"/>
  <c r="J28" i="3" s="1"/>
  <c r="C4" i="5" s="1"/>
  <c r="R25" i="3"/>
  <c r="R26" i="3" s="1"/>
  <c r="R69" i="3" s="1"/>
  <c r="R24" i="3"/>
  <c r="T24" i="3" s="1"/>
  <c r="N24" i="3"/>
  <c r="L24" i="3"/>
  <c r="J24" i="3"/>
  <c r="R50" i="3"/>
  <c r="R71" i="3" s="1"/>
  <c r="P50" i="3"/>
  <c r="N50" i="3"/>
  <c r="J39" i="3"/>
  <c r="L39" i="3"/>
  <c r="N65" i="3"/>
  <c r="L65" i="3"/>
  <c r="W49" i="3"/>
  <c r="W69" i="3" s="1"/>
  <c r="R63" i="3"/>
  <c r="P63" i="3"/>
  <c r="J45" i="3"/>
  <c r="L69" i="4" l="1"/>
  <c r="L73" i="4"/>
  <c r="D5" i="5"/>
  <c r="P110" i="4"/>
  <c r="Y110" i="4" s="1"/>
  <c r="P29" i="4"/>
  <c r="P71" i="4" s="1"/>
  <c r="P89" i="4"/>
  <c r="Y88" i="4"/>
  <c r="W28" i="4"/>
  <c r="W70" i="4" s="1"/>
  <c r="P121" i="4"/>
  <c r="P73" i="4"/>
  <c r="W68" i="4"/>
  <c r="P102" i="4"/>
  <c r="P101" i="4"/>
  <c r="P100" i="4"/>
  <c r="Y99" i="4"/>
  <c r="J73" i="4"/>
  <c r="J131" i="4" s="1"/>
  <c r="P111" i="4"/>
  <c r="P113" i="4"/>
  <c r="P135" i="4"/>
  <c r="P134" i="4"/>
  <c r="P133" i="4"/>
  <c r="Y132" i="4"/>
  <c r="P78" i="4"/>
  <c r="P80" i="4"/>
  <c r="P79" i="4"/>
  <c r="Y77" i="4"/>
  <c r="P132" i="3"/>
  <c r="R68" i="3"/>
  <c r="P70" i="3"/>
  <c r="R70" i="3"/>
  <c r="T27" i="3"/>
  <c r="T28" i="3" s="1"/>
  <c r="T29" i="3" s="1"/>
  <c r="W50" i="3"/>
  <c r="P30" i="3"/>
  <c r="N31" i="3"/>
  <c r="P24" i="3"/>
  <c r="L25" i="3"/>
  <c r="J25" i="3"/>
  <c r="C3" i="5" s="1"/>
  <c r="N28" i="3"/>
  <c r="E5" i="5" l="1"/>
  <c r="L5" i="5"/>
  <c r="E3" i="5"/>
  <c r="W51" i="3"/>
  <c r="W52" i="3" s="1"/>
  <c r="N70" i="3"/>
  <c r="P99" i="3" s="1"/>
  <c r="N29" i="3"/>
  <c r="N71" i="3" s="1"/>
  <c r="P110" i="3" s="1"/>
  <c r="P112" i="4"/>
  <c r="P123" i="4"/>
  <c r="P124" i="4"/>
  <c r="P122" i="4"/>
  <c r="Y121" i="4"/>
  <c r="Y132" i="3"/>
  <c r="P134" i="3"/>
  <c r="P135" i="3"/>
  <c r="P133" i="3"/>
  <c r="P31" i="3"/>
  <c r="P72" i="3"/>
  <c r="P121" i="3" s="1"/>
  <c r="W13" i="3"/>
  <c r="P102" i="3" l="1"/>
  <c r="P100" i="3"/>
  <c r="P101" i="3"/>
  <c r="Y110" i="3"/>
  <c r="P112" i="3"/>
  <c r="P111" i="3"/>
  <c r="P113" i="3"/>
  <c r="Y121" i="3"/>
  <c r="P122" i="3"/>
  <c r="P123" i="3"/>
  <c r="P124" i="3"/>
  <c r="P73" i="3"/>
  <c r="W24" i="3"/>
  <c r="N25" i="3"/>
  <c r="P25" i="3"/>
  <c r="T25" i="3"/>
  <c r="T26" i="3" s="1"/>
  <c r="T69" i="3" s="1"/>
  <c r="W65" i="3"/>
  <c r="T49" i="3"/>
  <c r="P49" i="3"/>
  <c r="P69" i="3" s="1"/>
  <c r="P88" i="3" s="1"/>
  <c r="N49" i="3"/>
  <c r="N69" i="3" s="1"/>
  <c r="L45" i="3"/>
  <c r="L44" i="3"/>
  <c r="J44" i="3"/>
  <c r="H43" i="3"/>
  <c r="L42" i="3"/>
  <c r="J42" i="3"/>
  <c r="H4" i="2"/>
  <c r="D7" i="2"/>
  <c r="F7" i="2" s="1"/>
  <c r="D6" i="2"/>
  <c r="F6" i="2" s="1"/>
  <c r="F4" i="2"/>
  <c r="G6" i="2" l="1"/>
  <c r="H6" i="2" s="1"/>
  <c r="I6" i="2" s="1"/>
  <c r="G7" i="2"/>
  <c r="H7" i="2" s="1"/>
  <c r="I7" i="2" s="1"/>
  <c r="Y88" i="3"/>
  <c r="P91" i="3"/>
  <c r="P89" i="3"/>
  <c r="P90" i="3"/>
  <c r="W66" i="3"/>
  <c r="W72" i="3" s="1"/>
  <c r="W73" i="3" s="1"/>
  <c r="W71" i="3"/>
  <c r="J51" i="3"/>
  <c r="J72" i="3" s="1"/>
  <c r="J120" i="3" s="1"/>
  <c r="J52" i="3"/>
  <c r="J73" i="3" s="1"/>
  <c r="J131" i="3" s="1"/>
  <c r="L52" i="3"/>
  <c r="L73" i="3" s="1"/>
  <c r="L51" i="3"/>
  <c r="L72" i="3" s="1"/>
  <c r="N68" i="3"/>
  <c r="P77" i="3" s="1"/>
  <c r="P68" i="3"/>
  <c r="J49" i="3"/>
  <c r="T50" i="3"/>
  <c r="T68" i="3"/>
  <c r="L49" i="3"/>
  <c r="L50" i="3"/>
  <c r="J50" i="3"/>
  <c r="W25" i="3"/>
  <c r="W68" i="3" s="1"/>
  <c r="W27" i="3"/>
  <c r="X41" i="3"/>
  <c r="X40" i="3"/>
  <c r="X17" i="3"/>
  <c r="X14" i="3"/>
  <c r="X16" i="3"/>
  <c r="X15" i="3"/>
  <c r="X49" i="3"/>
  <c r="Y99" i="3"/>
  <c r="X24" i="3"/>
  <c r="X27" i="3" s="1"/>
  <c r="T70" i="3" l="1"/>
  <c r="T71" i="3"/>
  <c r="J68" i="3"/>
  <c r="J76" i="3" s="1"/>
  <c r="J69" i="3"/>
  <c r="J87" i="3" s="1"/>
  <c r="J70" i="3"/>
  <c r="J98" i="3" s="1"/>
  <c r="J71" i="3"/>
  <c r="J109" i="3" s="1"/>
  <c r="L70" i="3"/>
  <c r="L71" i="3"/>
  <c r="L68" i="3"/>
  <c r="L69" i="3"/>
  <c r="X48" i="4"/>
  <c r="X41" i="4"/>
  <c r="X60" i="4"/>
  <c r="X40" i="4"/>
  <c r="X61" i="4"/>
  <c r="X59" i="4"/>
  <c r="X49" i="4"/>
  <c r="X50" i="4" s="1"/>
  <c r="X51" i="4" s="1"/>
  <c r="X48" i="3"/>
  <c r="X59" i="3"/>
  <c r="X61" i="3"/>
  <c r="X60" i="3"/>
  <c r="X16" i="4"/>
  <c r="X14" i="4"/>
  <c r="X17" i="4"/>
  <c r="X15" i="4"/>
  <c r="X13" i="4"/>
  <c r="X24" i="4"/>
  <c r="X27" i="4" s="1"/>
  <c r="X26" i="3"/>
  <c r="X29" i="3" s="1"/>
  <c r="X26" i="4"/>
  <c r="X25" i="4"/>
  <c r="X13" i="3"/>
  <c r="P78" i="3"/>
  <c r="Y77" i="3"/>
  <c r="P79" i="3"/>
  <c r="P80" i="3"/>
  <c r="X50" i="3"/>
  <c r="X25" i="3"/>
  <c r="W28" i="3"/>
  <c r="X29" i="4" l="1"/>
  <c r="X63" i="3"/>
  <c r="X52" i="4"/>
  <c r="X63" i="4"/>
  <c r="X28" i="3"/>
  <c r="G4" i="5" s="1"/>
  <c r="G3" i="5"/>
  <c r="K3" i="5" s="1"/>
  <c r="X28" i="4"/>
  <c r="H3" i="5"/>
  <c r="X51" i="3"/>
  <c r="X52" i="3"/>
  <c r="W70" i="3"/>
  <c r="X68" i="3"/>
  <c r="X76" i="3" s="1"/>
  <c r="Y76" i="3" s="1"/>
  <c r="X64" i="3" l="1"/>
  <c r="X69" i="3" s="1"/>
  <c r="X87" i="3" s="1"/>
  <c r="X65" i="3"/>
  <c r="H4" i="5"/>
  <c r="L4" i="5" s="1"/>
  <c r="I4" i="5"/>
  <c r="K4" i="5"/>
  <c r="X64" i="4"/>
  <c r="X69" i="4" s="1"/>
  <c r="X87" i="4" s="1"/>
  <c r="X65" i="4"/>
  <c r="X66" i="4" s="1"/>
  <c r="X72" i="4" s="1"/>
  <c r="X68" i="4"/>
  <c r="X76" i="4" s="1"/>
  <c r="F82" i="3"/>
  <c r="J82" i="3"/>
  <c r="X70" i="3"/>
  <c r="X98" i="3" s="1"/>
  <c r="J104" i="3" s="1"/>
  <c r="I3" i="5"/>
  <c r="L3" i="5"/>
  <c r="M3" i="5" s="1"/>
  <c r="Y98" i="3" l="1"/>
  <c r="F104" i="3"/>
  <c r="X71" i="4"/>
  <c r="X109" i="4" s="1"/>
  <c r="X70" i="4"/>
  <c r="X98" i="4" s="1"/>
  <c r="F93" i="4"/>
  <c r="J93" i="4"/>
  <c r="Y87" i="4"/>
  <c r="M4" i="5"/>
  <c r="X66" i="3"/>
  <c r="X72" i="3" s="1"/>
  <c r="X71" i="3"/>
  <c r="X109" i="3" s="1"/>
  <c r="X120" i="4"/>
  <c r="X73" i="4"/>
  <c r="X131" i="4" s="1"/>
  <c r="Y76" i="4"/>
  <c r="J82" i="4"/>
  <c r="F82" i="4"/>
  <c r="Y87" i="3"/>
  <c r="F93" i="3"/>
  <c r="J93" i="3"/>
  <c r="J104" i="4" l="1"/>
  <c r="F104" i="4"/>
  <c r="Y98" i="4"/>
  <c r="Y109" i="4"/>
  <c r="J115" i="4"/>
  <c r="F115" i="4"/>
  <c r="J137" i="4"/>
  <c r="Y131" i="4"/>
  <c r="F137" i="4"/>
  <c r="F126" i="4"/>
  <c r="Y120" i="4"/>
  <c r="J126" i="4"/>
  <c r="J115" i="3"/>
  <c r="F115" i="3"/>
  <c r="Y109" i="3"/>
  <c r="X120" i="3"/>
  <c r="X73" i="3"/>
  <c r="X131" i="3" s="1"/>
  <c r="J137" i="3" l="1"/>
  <c r="Y131" i="3"/>
  <c r="F137" i="3"/>
  <c r="J126" i="3"/>
  <c r="Y120" i="3"/>
  <c r="F126" i="3"/>
</calcChain>
</file>

<file path=xl/sharedStrings.xml><?xml version="1.0" encoding="utf-8"?>
<sst xmlns="http://schemas.openxmlformats.org/spreadsheetml/2006/main" count="544" uniqueCount="143">
  <si>
    <t>I. Key Figures</t>
  </si>
  <si>
    <t>average # of pages per STM article</t>
  </si>
  <si>
    <t>(STM Report)</t>
  </si>
  <si>
    <t>estimated # of figures/graphs/tables per article</t>
  </si>
  <si>
    <t>(estimated)</t>
  </si>
  <si>
    <t>II. Content Acquisition</t>
  </si>
  <si>
    <t xml:space="preserve">cost per </t>
  </si>
  <si>
    <t>Process or object</t>
  </si>
  <si>
    <t>a</t>
  </si>
  <si>
    <t>article</t>
  </si>
  <si>
    <t>page or item</t>
  </si>
  <si>
    <t>cost per</t>
  </si>
  <si>
    <t>annual cost</t>
  </si>
  <si>
    <t>one-time cost</t>
  </si>
  <si>
    <t>direct cost</t>
  </si>
  <si>
    <t>time (in hrs)</t>
  </si>
  <si>
    <t>non-direct cost</t>
  </si>
  <si>
    <t>Source</t>
  </si>
  <si>
    <t>est.: at av. 10 attempts to approach per reviewer times 5 min effort per reviewer</t>
  </si>
  <si>
    <t>b</t>
  </si>
  <si>
    <t>CrossRef Similarity Check</t>
  </si>
  <si>
    <t>c</t>
  </si>
  <si>
    <t>c: CrossRef</t>
  </si>
  <si>
    <t>CrossRef DOI for 2 or more reviews</t>
  </si>
  <si>
    <t>CrossRef DOI for an article</t>
  </si>
  <si>
    <t>d</t>
  </si>
  <si>
    <t>d: CrossRef membership fee, lowest tier</t>
  </si>
  <si>
    <t>III. Content Preparation</t>
  </si>
  <si>
    <t>Manuscript tracking system</t>
  </si>
  <si>
    <t>Searching and assigning reviewers (2 at min per article)</t>
  </si>
  <si>
    <t>Communication with reviewers</t>
  </si>
  <si>
    <t>Communication with authors</t>
  </si>
  <si>
    <t>Handling of re-submission process</t>
  </si>
  <si>
    <t>Plagiarism checking</t>
  </si>
  <si>
    <t>XML and metadata preparation</t>
  </si>
  <si>
    <t>f</t>
  </si>
  <si>
    <t xml:space="preserve">Production system check-in  </t>
  </si>
  <si>
    <t>Technical checking of manuscript</t>
  </si>
  <si>
    <t>Copyediting</t>
  </si>
  <si>
    <t>Language editing (by topical expert)</t>
  </si>
  <si>
    <t>Typesetting</t>
  </si>
  <si>
    <t>Formatting figures/graphes/tables</t>
  </si>
  <si>
    <t>Handling author corrections</t>
  </si>
  <si>
    <t>IV. Content Dissimination</t>
  </si>
  <si>
    <t>Altmetric badge</t>
  </si>
  <si>
    <t>Web OA platform and hosting</t>
  </si>
  <si>
    <t>CLOCKSS</t>
  </si>
  <si>
    <t>OAPEN</t>
  </si>
  <si>
    <t>Upload to Scopus, PMC, etc.</t>
  </si>
  <si>
    <t>o: annual fee</t>
  </si>
  <si>
    <t>o</t>
  </si>
  <si>
    <t>Total</t>
  </si>
  <si>
    <t>Staff Expenses</t>
  </si>
  <si>
    <t>Role</t>
  </si>
  <si>
    <t>Editor</t>
  </si>
  <si>
    <t>Production Editor</t>
  </si>
  <si>
    <t>Employee Expenses</t>
  </si>
  <si>
    <t>Monthly</t>
  </si>
  <si>
    <t>Annual</t>
  </si>
  <si>
    <t>Benefit</t>
  </si>
  <si>
    <t>40h/week</t>
  </si>
  <si>
    <t>Overhead</t>
  </si>
  <si>
    <t>per hour</t>
  </si>
  <si>
    <t>manual work</t>
  </si>
  <si>
    <t>expenses</t>
  </si>
  <si>
    <t>Journal Article Production Expenses</t>
  </si>
  <si>
    <t>Scenario A</t>
  </si>
  <si>
    <t>non direct cost</t>
  </si>
  <si>
    <t>Number of ms per year</t>
  </si>
  <si>
    <t xml:space="preserve">Total cost varying from </t>
  </si>
  <si>
    <t xml:space="preserve">to </t>
  </si>
  <si>
    <t xml:space="preserve">in dependence of the number of articles being processed per year. </t>
  </si>
  <si>
    <t>Editorial pre-review rejections:</t>
  </si>
  <si>
    <t>Standard pre-publication peer review: rejection rate</t>
  </si>
  <si>
    <t>Scenario B</t>
  </si>
  <si>
    <t>s</t>
  </si>
  <si>
    <t>Scenario B considers: N including ms submission, reviewing, and tracking system; OA webpage and hosting; all further services mentioned above included</t>
  </si>
  <si>
    <t>h</t>
  </si>
  <si>
    <t>h: Frontiers</t>
  </si>
  <si>
    <t>APC collection</t>
  </si>
  <si>
    <t>Scenario C</t>
  </si>
  <si>
    <t>Source:</t>
  </si>
  <si>
    <t xml:space="preserve">USD </t>
  </si>
  <si>
    <t>Salary (in USD)</t>
  </si>
  <si>
    <t>USD</t>
  </si>
  <si>
    <t>j</t>
  </si>
  <si>
    <t>min</t>
  </si>
  <si>
    <t>to</t>
  </si>
  <si>
    <t>max</t>
  </si>
  <si>
    <t>m</t>
  </si>
  <si>
    <t>m: ManuscriptManager by Akron Aps</t>
  </si>
  <si>
    <t>Online submission system (incl. peer review management)</t>
  </si>
  <si>
    <t>N</t>
  </si>
  <si>
    <t>D</t>
  </si>
  <si>
    <t>D; N: generic full-service provider (India)</t>
  </si>
  <si>
    <t>A</t>
  </si>
  <si>
    <t>A: Altmetric</t>
  </si>
  <si>
    <t>f: 0.03 per word and 1,500 words per page (optional)</t>
  </si>
  <si>
    <t>A?</t>
  </si>
  <si>
    <t>a: Scholastica $7 per figure; N $3 per figure</t>
  </si>
  <si>
    <t>Subtotal Scenario A</t>
  </si>
  <si>
    <t>Subtotal Scenario B</t>
  </si>
  <si>
    <t>Total Scenario A</t>
  </si>
  <si>
    <t>Total Scenario B</t>
  </si>
  <si>
    <t>Subtotal with rejections Scenario A</t>
  </si>
  <si>
    <t>j: + those ms submitted to online sub system but not charged</t>
  </si>
  <si>
    <t>Subtotal with rejections Scenario B</t>
  </si>
  <si>
    <t>a: Scholastica; b: Manuscript Central (lowest price tier with annual support package)</t>
  </si>
  <si>
    <t>a: Scholastica; b: Manuscript Central (see cost at II.)</t>
  </si>
  <si>
    <t>N: generic full-service provider (India)</t>
  </si>
  <si>
    <t>a: Scholastica; s: open access publishing platform</t>
  </si>
  <si>
    <t>Subtotal Scenario C</t>
  </si>
  <si>
    <t>Subtotal with rejections Scenario C</t>
  </si>
  <si>
    <t>Total Scenario C</t>
  </si>
  <si>
    <t xml:space="preserve">Scenario C considers: N for content preparation; without external submission, reviewing, and tracking system; with DOI; no external hosting/archiving; editorial work by faculty staff only </t>
  </si>
  <si>
    <t>Scenario C2</t>
  </si>
  <si>
    <t xml:space="preserve">Scenario C2 considers: Scholastica for content preparation; without external submission, reviewing, and tracking system; with DOI; no external hosting/archiving; editorial work by faculty staff only </t>
  </si>
  <si>
    <t>Subtotal Scenario C2</t>
  </si>
  <si>
    <t>Total Scenario C2</t>
  </si>
  <si>
    <t>Scenario A2</t>
  </si>
  <si>
    <t>Scenario A considers: Scholastica including ms submission, standard peer reviewing, and tracking system plus OA webpage and hosting</t>
  </si>
  <si>
    <t>Scenario A2 considers: Scholastica including ms submission, PPPR, and tracking system plus OA webpage and hosting</t>
  </si>
  <si>
    <t>Subtotal with rejections Scenario A2</t>
  </si>
  <si>
    <t>Subtotal Scenario A2</t>
  </si>
  <si>
    <t>Total Scenario A2</t>
  </si>
  <si>
    <t>Subtotal with rejections Scenario B2</t>
  </si>
  <si>
    <t>Total Scenario B2</t>
  </si>
  <si>
    <t>Scenario B2</t>
  </si>
  <si>
    <t>Scenario B2 considers: N including ms submission, PPPR and tracking system; OA webpage and hosting; all further services mentioned above included</t>
  </si>
  <si>
    <t>B</t>
  </si>
  <si>
    <t>C</t>
  </si>
  <si>
    <t>VAR (%)</t>
  </si>
  <si>
    <t>NA</t>
  </si>
  <si>
    <t>Total direct cost (US$)</t>
  </si>
  <si>
    <t>Direct personal expenses (US$)</t>
  </si>
  <si>
    <t>Direct cost per article (US$)</t>
  </si>
  <si>
    <t xml:space="preserve">in dependence of the number of articles (100 to 1,000) being processed per year. </t>
  </si>
  <si>
    <t>distribution to indexing services</t>
  </si>
  <si>
    <t>long-term digital preservation</t>
  </si>
  <si>
    <t>OAPEN/DOAJ membership</t>
  </si>
  <si>
    <t>Similarity Check</t>
  </si>
  <si>
    <t>DOI registration for an article</t>
  </si>
  <si>
    <t>DOI registration for 2 or more reviews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</si>
</sst>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gradientFill>
        <stop position="0">
          <color theme="9" tint="0.80001220740379042"/>
        </stop>
        <stop position="1">
          <color theme="8" tint="0.80001220740379042"/>
        </stop>
      </gradient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/>
    <xf numFmtId="0" fontId="0" fillId="0" borderId="1" xfId="0" applyBorder="1"/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164" fontId="0" fillId="0" borderId="0" xfId="0" applyNumberFormat="1"/>
    <xf numFmtId="9" fontId="1" fillId="0" borderId="0" xfId="0" applyNumberFormat="1" applyFont="1" applyAlignment="1">
      <alignment horizontal="center"/>
    </xf>
    <xf numFmtId="2" fontId="0" fillId="0" borderId="0" xfId="0" applyNumberFormat="1"/>
    <xf numFmtId="0" fontId="2" fillId="0" borderId="0" xfId="0" applyFont="1"/>
    <xf numFmtId="3" fontId="0" fillId="0" borderId="0" xfId="0" applyNumberFormat="1"/>
    <xf numFmtId="3" fontId="0" fillId="0" borderId="1" xfId="0" applyNumberFormat="1" applyBorder="1"/>
    <xf numFmtId="0" fontId="5" fillId="0" borderId="0" xfId="0" applyFont="1"/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/>
    <xf numFmtId="9" fontId="7" fillId="0" borderId="0" xfId="0" applyNumberFormat="1" applyFont="1" applyAlignment="1">
      <alignment horizontal="center"/>
    </xf>
    <xf numFmtId="0" fontId="0" fillId="4" borderId="0" xfId="0" applyFill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3" fontId="0" fillId="4" borderId="0" xfId="0" applyNumberFormat="1" applyFill="1"/>
    <xf numFmtId="3" fontId="0" fillId="0" borderId="0" xfId="0" applyNumberFormat="1" applyFill="1"/>
    <xf numFmtId="0" fontId="0" fillId="5" borderId="0" xfId="0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2" fontId="3" fillId="5" borderId="0" xfId="0" applyNumberFormat="1" applyFont="1" applyFill="1" applyAlignment="1">
      <alignment horizontal="center"/>
    </xf>
    <xf numFmtId="0" fontId="4" fillId="5" borderId="0" xfId="0" applyFont="1" applyFill="1"/>
    <xf numFmtId="2" fontId="6" fillId="5" borderId="0" xfId="0" applyNumberFormat="1" applyFont="1" applyFill="1" applyAlignment="1">
      <alignment horizontal="center"/>
    </xf>
    <xf numFmtId="2" fontId="3" fillId="5" borderId="0" xfId="0" applyNumberFormat="1" applyFont="1" applyFill="1"/>
    <xf numFmtId="0" fontId="0" fillId="5" borderId="0" xfId="0" applyFill="1" applyAlignment="1">
      <alignment horizontal="center"/>
    </xf>
    <xf numFmtId="0" fontId="0" fillId="5" borderId="0" xfId="0" applyFill="1" applyAlignment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/>
    <xf numFmtId="0" fontId="0" fillId="5" borderId="0" xfId="0" applyFill="1" applyAlignment="1">
      <alignment horizontal="left"/>
    </xf>
    <xf numFmtId="0" fontId="0" fillId="5" borderId="0" xfId="0" applyFont="1" applyFill="1" applyAlignment="1">
      <alignment horizontal="center"/>
    </xf>
    <xf numFmtId="0" fontId="0" fillId="5" borderId="0" xfId="0" applyFont="1" applyFill="1" applyAlignment="1">
      <alignment horizontal="left"/>
    </xf>
    <xf numFmtId="3" fontId="0" fillId="5" borderId="0" xfId="0" applyNumberFormat="1" applyFill="1" applyAlignment="1">
      <alignment horizontal="center"/>
    </xf>
    <xf numFmtId="3" fontId="0" fillId="5" borderId="0" xfId="0" applyNumberFormat="1" applyFill="1"/>
    <xf numFmtId="4" fontId="0" fillId="5" borderId="0" xfId="0" applyNumberFormat="1" applyFill="1" applyAlignment="1">
      <alignment horizontal="center"/>
    </xf>
    <xf numFmtId="3" fontId="7" fillId="5" borderId="0" xfId="0" applyNumberFormat="1" applyFont="1" applyFill="1"/>
    <xf numFmtId="2" fontId="1" fillId="5" borderId="0" xfId="0" applyNumberFormat="1" applyFont="1" applyFill="1" applyAlignment="1">
      <alignment horizontal="center"/>
    </xf>
    <xf numFmtId="1" fontId="1" fillId="5" borderId="0" xfId="0" applyNumberFormat="1" applyFont="1" applyFill="1" applyAlignment="1">
      <alignment horizontal="center"/>
    </xf>
    <xf numFmtId="0" fontId="1" fillId="6" borderId="0" xfId="0" applyFont="1" applyFill="1"/>
    <xf numFmtId="2" fontId="1" fillId="6" borderId="0" xfId="0" applyNumberFormat="1" applyFont="1" applyFill="1" applyAlignment="1">
      <alignment horizontal="center"/>
    </xf>
    <xf numFmtId="1" fontId="1" fillId="6" borderId="0" xfId="0" applyNumberFormat="1" applyFont="1" applyFill="1" applyAlignment="1">
      <alignment horizontal="center"/>
    </xf>
    <xf numFmtId="2" fontId="0" fillId="0" borderId="1" xfId="0" applyNumberFormat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7" borderId="0" xfId="0" applyNumberFormat="1" applyFill="1" applyAlignment="1">
      <alignment horizontal="center"/>
    </xf>
    <xf numFmtId="4" fontId="0" fillId="7" borderId="0" xfId="0" applyNumberFormat="1" applyFill="1" applyAlignment="1">
      <alignment horizontal="center"/>
    </xf>
    <xf numFmtId="3" fontId="0" fillId="7" borderId="1" xfId="0" applyNumberFormat="1" applyFill="1" applyBorder="1" applyAlignment="1">
      <alignment horizontal="center"/>
    </xf>
    <xf numFmtId="3" fontId="0" fillId="7" borderId="0" xfId="0" applyNumberFormat="1" applyFill="1"/>
    <xf numFmtId="0" fontId="0" fillId="7" borderId="0" xfId="0" applyFill="1"/>
    <xf numFmtId="0" fontId="0" fillId="6" borderId="0" xfId="0" applyFill="1" applyAlignment="1">
      <alignment horizontal="center"/>
    </xf>
    <xf numFmtId="0" fontId="0" fillId="6" borderId="0" xfId="0" applyFill="1"/>
    <xf numFmtId="0" fontId="0" fillId="6" borderId="0" xfId="0" applyFont="1" applyFill="1" applyAlignment="1">
      <alignment horizontal="center"/>
    </xf>
    <xf numFmtId="0" fontId="0" fillId="6" borderId="0" xfId="0" applyFill="1" applyAlignment="1">
      <alignment horizontal="left"/>
    </xf>
    <xf numFmtId="0" fontId="1" fillId="5" borderId="0" xfId="0" applyFont="1" applyFill="1" applyBorder="1"/>
    <xf numFmtId="0" fontId="1" fillId="6" borderId="0" xfId="0" applyFont="1" applyFill="1" applyBorder="1"/>
    <xf numFmtId="0" fontId="0" fillId="8" borderId="0" xfId="0" applyFill="1" applyAlignment="1">
      <alignment horizontal="center"/>
    </xf>
    <xf numFmtId="0" fontId="0" fillId="8" borderId="1" xfId="0" applyFill="1" applyBorder="1" applyAlignment="1">
      <alignment horizontal="center"/>
    </xf>
    <xf numFmtId="2" fontId="0" fillId="8" borderId="0" xfId="0" applyNumberFormat="1" applyFill="1" applyAlignment="1">
      <alignment horizontal="center"/>
    </xf>
    <xf numFmtId="2" fontId="7" fillId="8" borderId="0" xfId="0" applyNumberFormat="1" applyFont="1" applyFill="1" applyAlignment="1">
      <alignment horizontal="center"/>
    </xf>
    <xf numFmtId="0" fontId="0" fillId="0" borderId="2" xfId="0" applyBorder="1"/>
    <xf numFmtId="3" fontId="0" fillId="0" borderId="2" xfId="0" applyNumberFormat="1" applyBorder="1"/>
    <xf numFmtId="0" fontId="1" fillId="6" borderId="0" xfId="0" applyFont="1" applyFill="1" applyAlignment="1">
      <alignment horizontal="center"/>
    </xf>
    <xf numFmtId="2" fontId="3" fillId="6" borderId="0" xfId="0" applyNumberFormat="1" applyFont="1" applyFill="1" applyAlignment="1">
      <alignment horizontal="center"/>
    </xf>
    <xf numFmtId="0" fontId="4" fillId="6" borderId="0" xfId="0" applyFont="1" applyFill="1"/>
    <xf numFmtId="2" fontId="6" fillId="6" borderId="0" xfId="0" applyNumberFormat="1" applyFont="1" applyFill="1" applyAlignment="1">
      <alignment horizontal="center"/>
    </xf>
    <xf numFmtId="2" fontId="3" fillId="6" borderId="0" xfId="0" applyNumberFormat="1" applyFont="1" applyFill="1"/>
    <xf numFmtId="0" fontId="0" fillId="9" borderId="0" xfId="0" applyFill="1"/>
    <xf numFmtId="0" fontId="1" fillId="9" borderId="0" xfId="0" applyFont="1" applyFill="1" applyAlignment="1">
      <alignment horizontal="center"/>
    </xf>
    <xf numFmtId="0" fontId="1" fillId="9" borderId="0" xfId="0" applyFont="1" applyFill="1"/>
    <xf numFmtId="2" fontId="3" fillId="9" borderId="0" xfId="0" applyNumberFormat="1" applyFont="1" applyFill="1" applyAlignment="1">
      <alignment horizontal="center"/>
    </xf>
    <xf numFmtId="0" fontId="4" fillId="9" borderId="0" xfId="0" applyFont="1" applyFill="1"/>
    <xf numFmtId="2" fontId="6" fillId="9" borderId="0" xfId="0" applyNumberFormat="1" applyFont="1" applyFill="1" applyAlignment="1">
      <alignment horizontal="center"/>
    </xf>
    <xf numFmtId="2" fontId="3" fillId="9" borderId="0" xfId="0" applyNumberFormat="1" applyFont="1" applyFill="1"/>
    <xf numFmtId="2" fontId="1" fillId="9" borderId="0" xfId="0" applyNumberFormat="1" applyFont="1" applyFill="1" applyAlignment="1">
      <alignment horizontal="center"/>
    </xf>
    <xf numFmtId="1" fontId="1" fillId="9" borderId="0" xfId="0" applyNumberFormat="1" applyFont="1" applyFill="1" applyAlignment="1">
      <alignment horizontal="center"/>
    </xf>
    <xf numFmtId="0" fontId="1" fillId="9" borderId="0" xfId="0" applyFont="1" applyFill="1" applyBorder="1"/>
    <xf numFmtId="0" fontId="0" fillId="9" borderId="0" xfId="0" applyFill="1" applyAlignment="1">
      <alignment horizontal="center"/>
    </xf>
    <xf numFmtId="2" fontId="0" fillId="5" borderId="0" xfId="0" applyNumberFormat="1" applyFont="1" applyFill="1" applyAlignment="1">
      <alignment horizontal="center"/>
    </xf>
    <xf numFmtId="2" fontId="0" fillId="6" borderId="0" xfId="0" applyNumberFormat="1" applyFont="1" applyFill="1" applyAlignment="1">
      <alignment horizontal="center"/>
    </xf>
    <xf numFmtId="2" fontId="0" fillId="9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1" fillId="0" borderId="0" xfId="0" applyFont="1" applyFill="1"/>
    <xf numFmtId="1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9" fontId="0" fillId="0" borderId="0" xfId="0" applyNumberFormat="1"/>
    <xf numFmtId="0" fontId="0" fillId="2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38C24-6910-4956-8AE9-73CA4902CCE0}">
  <dimension ref="A1:AD139"/>
  <sheetViews>
    <sheetView tabSelected="1" topLeftCell="A25" workbookViewId="0">
      <selection activeCell="B23" sqref="B23"/>
    </sheetView>
  </sheetViews>
  <sheetFormatPr baseColWidth="10" defaultRowHeight="14.4" x14ac:dyDescent="0.3"/>
  <cols>
    <col min="1" max="1" width="3.5546875" customWidth="1"/>
    <col min="6" max="6" width="7" customWidth="1"/>
    <col min="7" max="7" width="3.5546875" customWidth="1"/>
    <col min="8" max="8" width="5.44140625" customWidth="1"/>
    <col min="9" max="9" width="3.44140625" customWidth="1"/>
    <col min="10" max="10" width="7.44140625" customWidth="1"/>
    <col min="11" max="11" width="3.44140625" customWidth="1"/>
    <col min="12" max="12" width="7.5546875" customWidth="1"/>
    <col min="13" max="13" width="3.5546875" customWidth="1"/>
    <col min="14" max="14" width="7.44140625" customWidth="1"/>
    <col min="15" max="15" width="3.5546875" customWidth="1"/>
    <col min="16" max="16" width="9" customWidth="1"/>
    <col min="17" max="17" width="2.88671875" customWidth="1"/>
    <col min="18" max="18" width="7.44140625" customWidth="1"/>
    <col min="19" max="19" width="3.33203125" customWidth="1"/>
    <col min="20" max="20" width="8.44140625" customWidth="1"/>
    <col min="21" max="22" width="2.5546875" customWidth="1"/>
    <col min="23" max="23" width="11.88671875" customWidth="1"/>
    <col min="24" max="24" width="10" customWidth="1"/>
  </cols>
  <sheetData>
    <row r="1" spans="1:30" ht="18" x14ac:dyDescent="0.35">
      <c r="A1" s="16" t="s">
        <v>65</v>
      </c>
    </row>
    <row r="2" spans="1:30" ht="18" x14ac:dyDescent="0.35">
      <c r="A2" s="16"/>
    </row>
    <row r="3" spans="1:30" x14ac:dyDescent="0.3">
      <c r="A3" s="2" t="s">
        <v>0</v>
      </c>
      <c r="M3" t="s">
        <v>81</v>
      </c>
    </row>
    <row r="4" spans="1:30" x14ac:dyDescent="0.3">
      <c r="B4" t="s">
        <v>1</v>
      </c>
      <c r="H4" s="1">
        <v>12</v>
      </c>
      <c r="I4" s="1"/>
      <c r="J4" s="1"/>
      <c r="K4" s="1"/>
      <c r="L4" s="1"/>
      <c r="M4" t="s">
        <v>2</v>
      </c>
    </row>
    <row r="5" spans="1:30" ht="15" customHeight="1" x14ac:dyDescent="0.3">
      <c r="B5" t="s">
        <v>3</v>
      </c>
      <c r="H5" s="1">
        <v>10</v>
      </c>
      <c r="I5" s="1"/>
      <c r="J5" s="1"/>
      <c r="K5" s="1"/>
      <c r="L5" s="1"/>
      <c r="M5" t="s">
        <v>4</v>
      </c>
    </row>
    <row r="6" spans="1:30" ht="15" customHeight="1" x14ac:dyDescent="0.3">
      <c r="B6" s="22" t="s">
        <v>73</v>
      </c>
      <c r="C6" s="22"/>
      <c r="D6" s="22"/>
      <c r="E6" s="22"/>
      <c r="F6" s="22"/>
      <c r="G6" s="22"/>
      <c r="H6" s="23">
        <v>0.5</v>
      </c>
      <c r="I6" s="1"/>
      <c r="J6" s="1"/>
      <c r="K6" s="1"/>
      <c r="L6" s="1"/>
    </row>
    <row r="7" spans="1:30" x14ac:dyDescent="0.3">
      <c r="B7" s="22" t="s">
        <v>72</v>
      </c>
      <c r="C7" s="22"/>
      <c r="D7" s="22"/>
      <c r="E7" s="22"/>
      <c r="F7" s="22"/>
      <c r="G7" s="22"/>
      <c r="H7" s="23">
        <v>0.1</v>
      </c>
      <c r="I7" s="1"/>
      <c r="J7" s="1"/>
      <c r="K7" s="1"/>
      <c r="L7" s="1"/>
    </row>
    <row r="9" spans="1:30" x14ac:dyDescent="0.3">
      <c r="A9" s="2" t="s">
        <v>5</v>
      </c>
      <c r="F9" s="100" t="s">
        <v>14</v>
      </c>
      <c r="G9" s="100"/>
      <c r="H9" s="100"/>
      <c r="I9" s="100"/>
      <c r="J9" s="100"/>
      <c r="K9" s="100"/>
      <c r="L9" s="100"/>
      <c r="M9" s="100"/>
      <c r="N9" s="104" t="s">
        <v>16</v>
      </c>
      <c r="O9" s="104"/>
      <c r="P9" s="104"/>
      <c r="Q9" s="104"/>
      <c r="R9" s="104"/>
      <c r="S9" s="104"/>
      <c r="T9" s="104"/>
      <c r="U9" s="104"/>
    </row>
    <row r="10" spans="1:30" x14ac:dyDescent="0.3">
      <c r="B10" s="3"/>
      <c r="C10" s="3"/>
      <c r="D10" s="3"/>
      <c r="E10" s="3"/>
      <c r="F10" s="101" t="s">
        <v>6</v>
      </c>
      <c r="G10" s="101"/>
      <c r="H10" s="101"/>
      <c r="I10" s="101"/>
      <c r="J10" s="101" t="s">
        <v>11</v>
      </c>
      <c r="K10" s="101"/>
      <c r="L10" s="101"/>
      <c r="M10" s="101"/>
      <c r="N10" s="7"/>
      <c r="O10" s="7"/>
      <c r="P10" s="7"/>
      <c r="Q10" s="3"/>
      <c r="R10" s="3"/>
      <c r="S10" s="3"/>
      <c r="T10" s="3"/>
      <c r="U10" s="3"/>
      <c r="V10" s="3"/>
      <c r="W10" s="101" t="s">
        <v>63</v>
      </c>
      <c r="X10" s="101"/>
    </row>
    <row r="11" spans="1:30" x14ac:dyDescent="0.3">
      <c r="B11" s="4" t="s">
        <v>7</v>
      </c>
      <c r="C11" s="4"/>
      <c r="D11" s="4"/>
      <c r="E11" s="4"/>
      <c r="F11" s="102" t="s">
        <v>10</v>
      </c>
      <c r="G11" s="102"/>
      <c r="H11" s="102"/>
      <c r="I11" s="102"/>
      <c r="J11" s="102" t="s">
        <v>9</v>
      </c>
      <c r="K11" s="102"/>
      <c r="L11" s="102"/>
      <c r="M11" s="102"/>
      <c r="N11" s="102" t="s">
        <v>12</v>
      </c>
      <c r="O11" s="102"/>
      <c r="P11" s="102"/>
      <c r="Q11" s="102"/>
      <c r="R11" s="6"/>
      <c r="S11" s="103" t="s">
        <v>13</v>
      </c>
      <c r="T11" s="103"/>
      <c r="U11" s="103"/>
      <c r="V11" s="4"/>
      <c r="W11" s="6" t="s">
        <v>15</v>
      </c>
      <c r="X11" s="6" t="s">
        <v>64</v>
      </c>
      <c r="Y11" s="102" t="s">
        <v>17</v>
      </c>
      <c r="Z11" s="102"/>
      <c r="AA11" s="102"/>
      <c r="AB11" s="102"/>
      <c r="AC11" s="102"/>
      <c r="AD11" s="102"/>
    </row>
    <row r="12" spans="1:30" x14ac:dyDescent="0.3">
      <c r="F12" s="1" t="s">
        <v>86</v>
      </c>
      <c r="G12" s="1" t="s">
        <v>87</v>
      </c>
      <c r="H12" s="1" t="s">
        <v>88</v>
      </c>
      <c r="I12" s="1"/>
      <c r="J12" s="1" t="s">
        <v>86</v>
      </c>
      <c r="K12" s="1" t="s">
        <v>87</v>
      </c>
      <c r="L12" s="1" t="s">
        <v>88</v>
      </c>
      <c r="M12" s="1"/>
      <c r="N12" s="1" t="s">
        <v>86</v>
      </c>
      <c r="O12" s="1" t="s">
        <v>87</v>
      </c>
      <c r="P12" s="1" t="s">
        <v>88</v>
      </c>
      <c r="Q12" s="1"/>
      <c r="R12" s="1" t="s">
        <v>86</v>
      </c>
      <c r="S12" s="1" t="s">
        <v>87</v>
      </c>
      <c r="T12" s="1" t="s">
        <v>88</v>
      </c>
      <c r="U12" s="1"/>
    </row>
    <row r="13" spans="1:30" x14ac:dyDescent="0.3">
      <c r="B13" t="s">
        <v>29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W13" s="71">
        <f>100/60</f>
        <v>1.6666666666666667</v>
      </c>
      <c r="X13" s="5">
        <f>W13*'Staff Expenses'!$I$6</f>
        <v>67.827690972222229</v>
      </c>
      <c r="Y13" t="s">
        <v>18</v>
      </c>
    </row>
    <row r="14" spans="1:30" x14ac:dyDescent="0.3">
      <c r="B14" t="s">
        <v>30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W14" s="72">
        <v>1</v>
      </c>
      <c r="X14" s="5">
        <f>W14*'Staff Expenses'!$I$6</f>
        <v>40.696614583333336</v>
      </c>
    </row>
    <row r="15" spans="1:30" x14ac:dyDescent="0.3">
      <c r="B15" t="s">
        <v>31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W15" s="72">
        <v>2</v>
      </c>
      <c r="X15" s="5">
        <f>W15*'Staff Expenses'!$I$6</f>
        <v>81.393229166666671</v>
      </c>
    </row>
    <row r="16" spans="1:30" x14ac:dyDescent="0.3">
      <c r="B16" t="s">
        <v>32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W16" s="5">
        <v>1</v>
      </c>
      <c r="X16" s="5">
        <f>W16*'Staff Expenses'!$I$6</f>
        <v>40.696614583333336</v>
      </c>
    </row>
    <row r="17" spans="2:25" x14ac:dyDescent="0.3">
      <c r="B17" t="s">
        <v>33</v>
      </c>
      <c r="F17" s="1"/>
      <c r="G17" s="1"/>
      <c r="H17" s="1"/>
      <c r="I17" s="1"/>
      <c r="J17" s="1"/>
      <c r="K17" s="1"/>
      <c r="L17" s="25"/>
      <c r="M17" s="1"/>
      <c r="N17" s="1"/>
      <c r="O17" s="1"/>
      <c r="P17" s="1"/>
      <c r="Q17" s="1"/>
      <c r="R17" s="1"/>
      <c r="S17" s="1"/>
      <c r="T17" s="1"/>
      <c r="U17" s="1"/>
      <c r="W17" s="72">
        <v>0.25</v>
      </c>
      <c r="X17" s="5">
        <f>W17*'Staff Expenses'!$I$6</f>
        <v>10.174153645833334</v>
      </c>
    </row>
    <row r="18" spans="2:25" x14ac:dyDescent="0.3">
      <c r="B18" t="s">
        <v>91</v>
      </c>
      <c r="J18" s="1">
        <v>0</v>
      </c>
      <c r="K18" s="1" t="s">
        <v>19</v>
      </c>
      <c r="L18" s="40">
        <v>10</v>
      </c>
      <c r="M18" s="40" t="s">
        <v>8</v>
      </c>
      <c r="N18" s="40">
        <v>0</v>
      </c>
      <c r="O18" s="44" t="s">
        <v>8</v>
      </c>
      <c r="P18" s="1">
        <v>3500</v>
      </c>
      <c r="Q18" s="1" t="s">
        <v>19</v>
      </c>
      <c r="R18" s="40">
        <v>0</v>
      </c>
      <c r="S18" s="44" t="s">
        <v>8</v>
      </c>
      <c r="T18" s="1">
        <v>2350</v>
      </c>
      <c r="U18" s="1" t="s">
        <v>19</v>
      </c>
      <c r="Y18" t="s">
        <v>107</v>
      </c>
    </row>
    <row r="19" spans="2:25" x14ac:dyDescent="0.3">
      <c r="J19" s="63">
        <v>7.5</v>
      </c>
      <c r="K19" s="63" t="s">
        <v>89</v>
      </c>
      <c r="L19" s="25">
        <v>20</v>
      </c>
      <c r="M19" s="27" t="s">
        <v>89</v>
      </c>
      <c r="N19" s="63">
        <v>0</v>
      </c>
      <c r="O19" s="66" t="s">
        <v>89</v>
      </c>
      <c r="P19" s="25"/>
      <c r="Q19" s="26"/>
      <c r="R19" s="63">
        <v>0</v>
      </c>
      <c r="S19" s="66" t="s">
        <v>89</v>
      </c>
      <c r="T19" s="25"/>
      <c r="U19" s="27"/>
      <c r="Y19" t="s">
        <v>90</v>
      </c>
    </row>
    <row r="20" spans="2:25" x14ac:dyDescent="0.3">
      <c r="B20" t="s">
        <v>79</v>
      </c>
      <c r="J20" s="69">
        <v>26</v>
      </c>
      <c r="K20" s="40" t="s">
        <v>77</v>
      </c>
      <c r="L20" s="40">
        <v>26</v>
      </c>
      <c r="M20" s="44" t="s">
        <v>77</v>
      </c>
      <c r="N20" s="1"/>
      <c r="O20" s="1"/>
      <c r="P20" s="1"/>
      <c r="S20" s="1"/>
      <c r="T20" s="1"/>
      <c r="U20" s="8"/>
      <c r="Y20" t="s">
        <v>78</v>
      </c>
    </row>
    <row r="21" spans="2:25" x14ac:dyDescent="0.3">
      <c r="B21" t="s">
        <v>140</v>
      </c>
      <c r="F21" s="1"/>
      <c r="G21" s="1"/>
      <c r="H21" s="1"/>
      <c r="I21" s="1"/>
      <c r="J21" s="69">
        <v>0.75</v>
      </c>
      <c r="K21" s="40" t="s">
        <v>21</v>
      </c>
      <c r="L21" s="40">
        <v>0.75</v>
      </c>
      <c r="M21" s="41" t="s">
        <v>21</v>
      </c>
      <c r="N21" s="40">
        <v>55</v>
      </c>
      <c r="O21" s="44" t="s">
        <v>21</v>
      </c>
      <c r="P21" s="1">
        <v>55</v>
      </c>
      <c r="Q21" s="8" t="s">
        <v>21</v>
      </c>
      <c r="R21" s="1"/>
      <c r="S21" s="1"/>
      <c r="T21" s="1"/>
      <c r="U21" s="1"/>
      <c r="Y21" t="s">
        <v>22</v>
      </c>
    </row>
    <row r="22" spans="2:25" x14ac:dyDescent="0.3">
      <c r="B22" t="s">
        <v>141</v>
      </c>
      <c r="F22" s="1"/>
      <c r="G22" s="1"/>
      <c r="H22" s="1"/>
      <c r="I22" s="1"/>
      <c r="J22" s="69">
        <v>1</v>
      </c>
      <c r="K22" s="40" t="s">
        <v>21</v>
      </c>
      <c r="L22" s="40">
        <v>1</v>
      </c>
      <c r="M22" s="41" t="s">
        <v>21</v>
      </c>
      <c r="N22" s="40">
        <v>275</v>
      </c>
      <c r="O22" s="44" t="s">
        <v>25</v>
      </c>
      <c r="P22" s="1">
        <v>275</v>
      </c>
      <c r="Q22" s="8" t="s">
        <v>25</v>
      </c>
      <c r="R22" s="1"/>
      <c r="S22" s="1"/>
      <c r="T22" s="1"/>
      <c r="U22" s="1"/>
      <c r="Y22" t="s">
        <v>26</v>
      </c>
    </row>
    <row r="23" spans="2:25" x14ac:dyDescent="0.3">
      <c r="B23" s="4" t="s">
        <v>142</v>
      </c>
      <c r="C23" s="4"/>
      <c r="D23" s="4"/>
      <c r="E23" s="4"/>
      <c r="F23" s="6"/>
      <c r="G23" s="6"/>
      <c r="H23" s="6"/>
      <c r="I23" s="6"/>
      <c r="J23" s="70">
        <v>0.25</v>
      </c>
      <c r="K23" s="42" t="s">
        <v>21</v>
      </c>
      <c r="L23" s="42">
        <v>0.25</v>
      </c>
      <c r="M23" s="43" t="s">
        <v>21</v>
      </c>
      <c r="N23" s="6"/>
      <c r="O23" s="6"/>
      <c r="P23" s="6"/>
      <c r="Q23" s="6"/>
      <c r="R23" s="6"/>
      <c r="S23" s="6"/>
      <c r="T23" s="6"/>
      <c r="U23" s="6"/>
      <c r="V23" s="4"/>
      <c r="W23" s="4"/>
      <c r="X23" s="4"/>
    </row>
    <row r="24" spans="2:25" x14ac:dyDescent="0.3">
      <c r="B24" s="35" t="s">
        <v>100</v>
      </c>
      <c r="C24" s="35"/>
      <c r="D24" s="35"/>
      <c r="E24" s="35"/>
      <c r="F24" s="51"/>
      <c r="G24" s="51"/>
      <c r="H24" s="51"/>
      <c r="I24" s="51"/>
      <c r="J24" s="51">
        <f>L18+J20+J21+J22+J23</f>
        <v>38</v>
      </c>
      <c r="K24" s="51"/>
      <c r="L24" s="51">
        <f>L18+L20+L21+L22+L23</f>
        <v>38</v>
      </c>
      <c r="M24" s="51"/>
      <c r="N24" s="51">
        <f>N18+N21+N22</f>
        <v>330</v>
      </c>
      <c r="O24" s="51"/>
      <c r="P24" s="51">
        <f>N24</f>
        <v>330</v>
      </c>
      <c r="Q24" s="51"/>
      <c r="R24" s="51">
        <f>R18</f>
        <v>0</v>
      </c>
      <c r="S24" s="51"/>
      <c r="T24" s="51">
        <f>R24</f>
        <v>0</v>
      </c>
      <c r="U24" s="51"/>
      <c r="V24" s="52"/>
      <c r="W24" s="51">
        <f>W13+W14+W15+W17</f>
        <v>4.916666666666667</v>
      </c>
      <c r="X24" s="51">
        <f>W24*'Staff Expenses'!$I$6</f>
        <v>200.09168836805557</v>
      </c>
    </row>
    <row r="25" spans="2:25" x14ac:dyDescent="0.3">
      <c r="B25" s="67" t="s">
        <v>104</v>
      </c>
      <c r="C25" s="33"/>
      <c r="D25" s="33"/>
      <c r="E25" s="33"/>
      <c r="F25" s="40"/>
      <c r="G25" s="40"/>
      <c r="H25" s="40"/>
      <c r="I25" s="40"/>
      <c r="J25" s="51">
        <f>J24+$H$6*J24+(J19+J21)*0.1</f>
        <v>57.825000000000003</v>
      </c>
      <c r="K25" s="91" t="s">
        <v>85</v>
      </c>
      <c r="L25" s="51">
        <f>L24+$H$6*L24+(L18+L21)*0.1</f>
        <v>58.075000000000003</v>
      </c>
      <c r="M25" s="91"/>
      <c r="N25" s="51">
        <f>N24</f>
        <v>330</v>
      </c>
      <c r="O25" s="51"/>
      <c r="P25" s="51">
        <f>P24</f>
        <v>330</v>
      </c>
      <c r="Q25" s="51"/>
      <c r="R25" s="51">
        <f>R18</f>
        <v>0</v>
      </c>
      <c r="S25" s="51"/>
      <c r="T25" s="51">
        <f>T24</f>
        <v>0</v>
      </c>
      <c r="U25" s="51"/>
      <c r="V25" s="51"/>
      <c r="W25" s="51">
        <f>W24+W16</f>
        <v>5.916666666666667</v>
      </c>
      <c r="X25" s="51">
        <f>W25*'Staff Expenses'!I6</f>
        <v>240.78830295138891</v>
      </c>
      <c r="Y25" t="s">
        <v>105</v>
      </c>
    </row>
    <row r="26" spans="2:25" x14ac:dyDescent="0.3">
      <c r="B26" s="67" t="s">
        <v>122</v>
      </c>
      <c r="C26" s="33"/>
      <c r="D26" s="33"/>
      <c r="E26" s="33"/>
      <c r="F26" s="40"/>
      <c r="G26" s="40"/>
      <c r="H26" s="40"/>
      <c r="I26" s="40"/>
      <c r="J26" s="51">
        <f>J20+J21+J22+J23+(+J22+J23)*H6</f>
        <v>28.625</v>
      </c>
      <c r="K26" s="91"/>
      <c r="L26" s="51">
        <f>J26</f>
        <v>28.625</v>
      </c>
      <c r="M26" s="91"/>
      <c r="N26" s="51">
        <f>N21+N22</f>
        <v>330</v>
      </c>
      <c r="O26" s="51"/>
      <c r="P26" s="51">
        <f>N26</f>
        <v>330</v>
      </c>
      <c r="Q26" s="51"/>
      <c r="R26" s="51">
        <f>R25</f>
        <v>0</v>
      </c>
      <c r="S26" s="51"/>
      <c r="T26" s="51">
        <f>T25</f>
        <v>0</v>
      </c>
      <c r="U26" s="51"/>
      <c r="V26" s="51"/>
      <c r="W26" s="51">
        <f>W15+W17</f>
        <v>2.25</v>
      </c>
      <c r="X26" s="51">
        <f>W26*'Staff Expenses'!I6</f>
        <v>91.5673828125</v>
      </c>
    </row>
    <row r="27" spans="2:25" x14ac:dyDescent="0.3">
      <c r="B27" s="53" t="s">
        <v>101</v>
      </c>
      <c r="C27" s="53"/>
      <c r="D27" s="53"/>
      <c r="E27" s="53"/>
      <c r="F27" s="54"/>
      <c r="G27" s="54"/>
      <c r="H27" s="54"/>
      <c r="I27" s="54"/>
      <c r="J27" s="54">
        <f>J19+J20+J21+J22+J23</f>
        <v>35.5</v>
      </c>
      <c r="K27" s="54"/>
      <c r="L27" s="54">
        <f t="shared" ref="L27" si="0">L19+L20+L21+L22+L23</f>
        <v>48</v>
      </c>
      <c r="M27" s="54"/>
      <c r="N27" s="54">
        <f>N19+N21+N22</f>
        <v>330</v>
      </c>
      <c r="O27" s="54"/>
      <c r="P27" s="54">
        <f>N27</f>
        <v>330</v>
      </c>
      <c r="Q27" s="54"/>
      <c r="R27" s="54">
        <f>R19</f>
        <v>0</v>
      </c>
      <c r="S27" s="54"/>
      <c r="T27" s="54">
        <f>R27</f>
        <v>0</v>
      </c>
      <c r="U27" s="54"/>
      <c r="V27" s="55"/>
      <c r="W27" s="54">
        <f t="shared" ref="W27:X29" si="1">W24</f>
        <v>4.916666666666667</v>
      </c>
      <c r="X27" s="54">
        <f t="shared" si="1"/>
        <v>200.09168836805557</v>
      </c>
    </row>
    <row r="28" spans="2:25" x14ac:dyDescent="0.3">
      <c r="B28" s="68" t="s">
        <v>106</v>
      </c>
      <c r="C28" s="64"/>
      <c r="D28" s="64"/>
      <c r="E28" s="64"/>
      <c r="F28" s="63"/>
      <c r="G28" s="63"/>
      <c r="H28" s="63"/>
      <c r="I28" s="63"/>
      <c r="J28" s="54">
        <f>J27+$H$6*J27+(J19+J21)*0.1</f>
        <v>54.075000000000003</v>
      </c>
      <c r="K28" s="92" t="s">
        <v>85</v>
      </c>
      <c r="L28" s="54">
        <f>L27+$H$6*L27+(L19+L21)*0.1</f>
        <v>74.075000000000003</v>
      </c>
      <c r="M28" s="92"/>
      <c r="N28" s="54">
        <f>N27</f>
        <v>330</v>
      </c>
      <c r="O28" s="54"/>
      <c r="P28" s="54">
        <f>P27</f>
        <v>330</v>
      </c>
      <c r="Q28" s="54"/>
      <c r="R28" s="54">
        <f>R19</f>
        <v>0</v>
      </c>
      <c r="S28" s="54"/>
      <c r="T28" s="54">
        <f>T27</f>
        <v>0</v>
      </c>
      <c r="U28" s="54"/>
      <c r="V28" s="54"/>
      <c r="W28" s="54">
        <f t="shared" si="1"/>
        <v>5.916666666666667</v>
      </c>
      <c r="X28" s="54">
        <f t="shared" si="1"/>
        <v>240.78830295138891</v>
      </c>
    </row>
    <row r="29" spans="2:25" x14ac:dyDescent="0.3">
      <c r="B29" s="68" t="s">
        <v>125</v>
      </c>
      <c r="C29" s="64"/>
      <c r="D29" s="64"/>
      <c r="E29" s="64"/>
      <c r="F29" s="63"/>
      <c r="G29" s="63"/>
      <c r="H29" s="63"/>
      <c r="I29" s="63"/>
      <c r="J29" s="54">
        <f>J20+J22+J21+J23+(J21+J22+J23)*H6</f>
        <v>29</v>
      </c>
      <c r="K29" s="92" t="s">
        <v>85</v>
      </c>
      <c r="L29" s="54">
        <f>J29</f>
        <v>29</v>
      </c>
      <c r="M29" s="92"/>
      <c r="N29" s="54">
        <f>N28</f>
        <v>330</v>
      </c>
      <c r="O29" s="54"/>
      <c r="P29" s="54">
        <f>P28</f>
        <v>330</v>
      </c>
      <c r="Q29" s="54"/>
      <c r="R29" s="54">
        <f>R20</f>
        <v>0</v>
      </c>
      <c r="S29" s="54"/>
      <c r="T29" s="54">
        <f>T28</f>
        <v>0</v>
      </c>
      <c r="U29" s="54"/>
      <c r="V29" s="54"/>
      <c r="W29" s="54">
        <f t="shared" si="1"/>
        <v>2.25</v>
      </c>
      <c r="X29" s="54">
        <f t="shared" si="1"/>
        <v>91.5673828125</v>
      </c>
    </row>
    <row r="30" spans="2:25" x14ac:dyDescent="0.3">
      <c r="B30" s="82" t="s">
        <v>111</v>
      </c>
      <c r="C30" s="82"/>
      <c r="D30" s="82"/>
      <c r="E30" s="82"/>
      <c r="F30" s="87"/>
      <c r="G30" s="87"/>
      <c r="H30" s="87"/>
      <c r="I30" s="87"/>
      <c r="J30" s="87">
        <f>J21+J22+J23+J20</f>
        <v>28</v>
      </c>
      <c r="K30" s="87"/>
      <c r="L30" s="87">
        <f>J30</f>
        <v>28</v>
      </c>
      <c r="M30" s="87"/>
      <c r="N30" s="87">
        <f>N21+N22</f>
        <v>330</v>
      </c>
      <c r="O30" s="87"/>
      <c r="P30" s="87">
        <f>N30</f>
        <v>330</v>
      </c>
      <c r="Q30" s="87"/>
      <c r="R30" s="87">
        <f>R21</f>
        <v>0</v>
      </c>
      <c r="S30" s="87"/>
      <c r="T30" s="87">
        <f>R30</f>
        <v>0</v>
      </c>
      <c r="U30" s="87"/>
      <c r="V30" s="88"/>
      <c r="W30" s="87">
        <v>0</v>
      </c>
      <c r="X30" s="87">
        <v>0</v>
      </c>
    </row>
    <row r="31" spans="2:25" x14ac:dyDescent="0.3">
      <c r="B31" s="89" t="s">
        <v>112</v>
      </c>
      <c r="C31" s="80"/>
      <c r="D31" s="80"/>
      <c r="E31" s="80"/>
      <c r="F31" s="90"/>
      <c r="G31" s="90"/>
      <c r="H31" s="90"/>
      <c r="I31" s="90"/>
      <c r="J31" s="87">
        <f>J30+$H$6*J30+(J21)*0.1</f>
        <v>42.075000000000003</v>
      </c>
      <c r="K31" s="93" t="s">
        <v>85</v>
      </c>
      <c r="L31" s="87">
        <f>J31</f>
        <v>42.075000000000003</v>
      </c>
      <c r="M31" s="93"/>
      <c r="N31" s="87">
        <f>N30</f>
        <v>330</v>
      </c>
      <c r="O31" s="87"/>
      <c r="P31" s="87">
        <f>P30</f>
        <v>330</v>
      </c>
      <c r="Q31" s="87"/>
      <c r="R31" s="87">
        <f>R21</f>
        <v>0</v>
      </c>
      <c r="S31" s="87"/>
      <c r="T31" s="87">
        <f>T30</f>
        <v>0</v>
      </c>
      <c r="U31" s="87"/>
      <c r="V31" s="87"/>
      <c r="W31" s="87">
        <v>0</v>
      </c>
      <c r="X31" s="87">
        <v>0</v>
      </c>
    </row>
    <row r="32" spans="2:25" s="26" customFormat="1" x14ac:dyDescent="0.3">
      <c r="B32" s="18"/>
      <c r="F32" s="25"/>
      <c r="G32" s="25"/>
      <c r="H32" s="25"/>
      <c r="I32" s="25"/>
      <c r="J32" s="94"/>
      <c r="K32" s="95"/>
      <c r="L32" s="94"/>
      <c r="M32" s="95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</row>
    <row r="33" spans="1:28" x14ac:dyDescent="0.3">
      <c r="A33" s="2" t="s">
        <v>27</v>
      </c>
      <c r="B33" s="17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8" x14ac:dyDescent="0.3">
      <c r="F34" s="100" t="s">
        <v>14</v>
      </c>
      <c r="G34" s="100"/>
      <c r="H34" s="100"/>
      <c r="I34" s="100"/>
      <c r="J34" s="100"/>
      <c r="K34" s="100"/>
      <c r="L34" s="100"/>
      <c r="M34" s="100"/>
      <c r="N34" s="104" t="s">
        <v>16</v>
      </c>
      <c r="O34" s="104"/>
      <c r="P34" s="104"/>
      <c r="Q34" s="104"/>
      <c r="R34" s="104"/>
      <c r="S34" s="104"/>
      <c r="T34" s="104"/>
      <c r="U34" s="104"/>
    </row>
    <row r="35" spans="1:28" x14ac:dyDescent="0.3">
      <c r="B35" s="3"/>
      <c r="C35" s="3"/>
      <c r="D35" s="3"/>
      <c r="E35" s="3"/>
      <c r="F35" s="101" t="s">
        <v>6</v>
      </c>
      <c r="G35" s="101"/>
      <c r="H35" s="101"/>
      <c r="I35" s="101"/>
      <c r="J35" s="101" t="s">
        <v>11</v>
      </c>
      <c r="K35" s="101"/>
      <c r="L35" s="101"/>
      <c r="M35" s="101"/>
      <c r="N35" s="7"/>
      <c r="O35" s="7"/>
      <c r="P35" s="7"/>
      <c r="Q35" s="3"/>
      <c r="R35" s="3"/>
      <c r="S35" s="3"/>
      <c r="T35" s="3"/>
      <c r="U35" s="3"/>
      <c r="V35" s="3"/>
      <c r="W35" s="101" t="s">
        <v>63</v>
      </c>
      <c r="X35" s="101"/>
    </row>
    <row r="36" spans="1:28" x14ac:dyDescent="0.3">
      <c r="B36" s="4" t="s">
        <v>7</v>
      </c>
      <c r="C36" s="4"/>
      <c r="D36" s="4"/>
      <c r="E36" s="4"/>
      <c r="F36" s="102" t="s">
        <v>10</v>
      </c>
      <c r="G36" s="102"/>
      <c r="H36" s="102"/>
      <c r="I36" s="102"/>
      <c r="J36" s="102" t="s">
        <v>9</v>
      </c>
      <c r="K36" s="102"/>
      <c r="L36" s="102"/>
      <c r="M36" s="102"/>
      <c r="N36" s="102" t="s">
        <v>12</v>
      </c>
      <c r="O36" s="102"/>
      <c r="P36" s="102"/>
      <c r="Q36" s="102"/>
      <c r="R36" s="6"/>
      <c r="S36" s="103" t="s">
        <v>13</v>
      </c>
      <c r="T36" s="103"/>
      <c r="U36" s="103"/>
      <c r="V36" s="4"/>
      <c r="W36" s="6" t="s">
        <v>15</v>
      </c>
      <c r="X36" s="6" t="s">
        <v>64</v>
      </c>
    </row>
    <row r="37" spans="1:28" x14ac:dyDescent="0.3">
      <c r="F37" s="1" t="s">
        <v>86</v>
      </c>
      <c r="G37" s="1" t="s">
        <v>87</v>
      </c>
      <c r="H37" s="1" t="s">
        <v>88</v>
      </c>
      <c r="I37" s="1"/>
      <c r="J37" s="1" t="s">
        <v>86</v>
      </c>
      <c r="K37" s="1" t="s">
        <v>87</v>
      </c>
      <c r="L37" s="1" t="s">
        <v>88</v>
      </c>
      <c r="M37" s="1"/>
      <c r="N37" s="1" t="s">
        <v>86</v>
      </c>
      <c r="O37" s="1" t="s">
        <v>87</v>
      </c>
      <c r="P37" s="1" t="s">
        <v>88</v>
      </c>
      <c r="Q37" s="1"/>
      <c r="R37" s="1" t="s">
        <v>86</v>
      </c>
      <c r="S37" s="1" t="s">
        <v>87</v>
      </c>
      <c r="T37" s="1" t="s">
        <v>88</v>
      </c>
      <c r="U37" s="1"/>
      <c r="W37" s="1"/>
      <c r="X37" s="1"/>
      <c r="Y37" t="s">
        <v>108</v>
      </c>
    </row>
    <row r="38" spans="1:28" x14ac:dyDescent="0.3">
      <c r="B38" t="s">
        <v>28</v>
      </c>
      <c r="F38" s="1"/>
      <c r="G38" s="1"/>
      <c r="J38" s="40">
        <v>0</v>
      </c>
      <c r="K38" s="44" t="s">
        <v>8</v>
      </c>
      <c r="L38" s="25">
        <v>0</v>
      </c>
      <c r="M38" s="25" t="s">
        <v>19</v>
      </c>
      <c r="N38" s="25">
        <v>0</v>
      </c>
      <c r="O38" s="25" t="s">
        <v>8</v>
      </c>
      <c r="P38" s="25">
        <v>0</v>
      </c>
      <c r="Q38" s="25" t="s">
        <v>19</v>
      </c>
      <c r="R38" s="25">
        <v>0</v>
      </c>
      <c r="S38" s="25" t="s">
        <v>8</v>
      </c>
      <c r="T38" s="25">
        <v>0</v>
      </c>
      <c r="U38" s="1" t="s">
        <v>19</v>
      </c>
      <c r="W38" s="5"/>
      <c r="X38" s="5"/>
      <c r="Y38" t="s">
        <v>109</v>
      </c>
    </row>
    <row r="39" spans="1:28" x14ac:dyDescent="0.3">
      <c r="F39" s="1">
        <v>6</v>
      </c>
      <c r="G39" s="1" t="s">
        <v>92</v>
      </c>
      <c r="H39" s="1">
        <v>12</v>
      </c>
      <c r="I39" s="8" t="s">
        <v>92</v>
      </c>
      <c r="J39" s="63">
        <f>F39*H4</f>
        <v>72</v>
      </c>
      <c r="K39" s="66" t="s">
        <v>92</v>
      </c>
      <c r="L39" s="63">
        <f>H39*H4</f>
        <v>144</v>
      </c>
      <c r="M39" s="64" t="s">
        <v>92</v>
      </c>
      <c r="N39" s="1"/>
      <c r="P39" s="1"/>
      <c r="Q39" s="1"/>
      <c r="R39" s="1"/>
      <c r="S39" s="1"/>
      <c r="T39" s="1"/>
      <c r="U39" s="1"/>
      <c r="W39" s="5"/>
      <c r="X39" s="5"/>
    </row>
    <row r="40" spans="1:28" x14ac:dyDescent="0.3">
      <c r="B40" t="s">
        <v>36</v>
      </c>
      <c r="J40" s="1"/>
      <c r="K40" s="8"/>
      <c r="L40" s="1"/>
      <c r="M40" s="1"/>
      <c r="N40" s="25"/>
      <c r="O40" s="1"/>
      <c r="P40" s="1"/>
      <c r="S40" s="1"/>
      <c r="T40" s="1"/>
      <c r="U40" s="8"/>
      <c r="W40" s="1">
        <v>0.25</v>
      </c>
      <c r="X40" s="5">
        <f>W40*'Staff Expenses'!$I$7</f>
        <v>7.9228515625</v>
      </c>
    </row>
    <row r="41" spans="1:28" x14ac:dyDescent="0.3">
      <c r="B41" t="s">
        <v>37</v>
      </c>
      <c r="F41" s="1"/>
      <c r="G41" s="1"/>
      <c r="H41" s="1"/>
      <c r="I41" s="1"/>
      <c r="J41" s="1"/>
      <c r="K41" s="8"/>
      <c r="L41" s="1"/>
      <c r="M41" s="1"/>
      <c r="N41" s="1"/>
      <c r="O41" s="8"/>
      <c r="P41" s="1"/>
      <c r="Q41" s="1"/>
      <c r="R41" s="1"/>
      <c r="S41" s="1"/>
      <c r="T41" s="1"/>
      <c r="U41" s="1"/>
      <c r="W41" s="1">
        <v>0.5</v>
      </c>
      <c r="X41" s="5">
        <f>W41*'Staff Expenses'!$I$7</f>
        <v>15.845703125</v>
      </c>
      <c r="Z41" s="30"/>
      <c r="AA41" s="30"/>
      <c r="AB41" s="30"/>
    </row>
    <row r="42" spans="1:28" x14ac:dyDescent="0.3">
      <c r="B42" t="s">
        <v>38</v>
      </c>
      <c r="F42" s="1">
        <v>4</v>
      </c>
      <c r="G42" s="8" t="s">
        <v>93</v>
      </c>
      <c r="H42" s="1">
        <v>4.2</v>
      </c>
      <c r="I42" s="8" t="s">
        <v>92</v>
      </c>
      <c r="J42" s="45">
        <f>F42*$H$4</f>
        <v>48</v>
      </c>
      <c r="K42" s="46" t="s">
        <v>93</v>
      </c>
      <c r="L42" s="65">
        <f>H42*$H$4</f>
        <v>50.400000000000006</v>
      </c>
      <c r="M42" s="66" t="s">
        <v>92</v>
      </c>
      <c r="N42" s="1"/>
      <c r="O42" s="8"/>
      <c r="P42" s="1"/>
      <c r="Q42" s="1"/>
      <c r="R42" s="1"/>
      <c r="S42" s="1"/>
      <c r="T42" s="1"/>
      <c r="U42" s="1"/>
      <c r="W42" s="1"/>
      <c r="X42" s="1"/>
      <c r="Y42" t="s">
        <v>94</v>
      </c>
    </row>
    <row r="43" spans="1:28" x14ac:dyDescent="0.3">
      <c r="B43" t="s">
        <v>39</v>
      </c>
      <c r="F43" s="1"/>
      <c r="G43" s="1"/>
      <c r="H43" s="28">
        <f>1500*0.03</f>
        <v>45</v>
      </c>
      <c r="I43" s="29" t="s">
        <v>35</v>
      </c>
      <c r="J43" s="28"/>
      <c r="K43" s="29"/>
      <c r="L43" s="28"/>
      <c r="M43" s="30"/>
      <c r="N43" s="28"/>
      <c r="O43" s="28"/>
      <c r="P43" s="28"/>
      <c r="Q43" s="28"/>
      <c r="R43" s="28"/>
      <c r="S43" s="28"/>
      <c r="T43" s="28"/>
      <c r="U43" s="28"/>
      <c r="V43" s="30"/>
      <c r="W43" s="28"/>
      <c r="X43" s="28"/>
      <c r="Y43" s="30" t="s">
        <v>97</v>
      </c>
    </row>
    <row r="44" spans="1:28" x14ac:dyDescent="0.3">
      <c r="B44" t="s">
        <v>40</v>
      </c>
      <c r="F44" s="1">
        <v>1.4</v>
      </c>
      <c r="G44" s="8" t="s">
        <v>92</v>
      </c>
      <c r="H44" s="1">
        <v>15</v>
      </c>
      <c r="I44" t="s">
        <v>8</v>
      </c>
      <c r="J44" s="65">
        <f>F44*$H$4</f>
        <v>16.799999999999997</v>
      </c>
      <c r="K44" s="66" t="s">
        <v>92</v>
      </c>
      <c r="L44" s="45">
        <f>H44*$H$4</f>
        <v>180</v>
      </c>
      <c r="M44" s="33" t="s">
        <v>8</v>
      </c>
      <c r="W44" s="1"/>
      <c r="X44" s="1"/>
    </row>
    <row r="45" spans="1:28" x14ac:dyDescent="0.3">
      <c r="B45" t="s">
        <v>41</v>
      </c>
      <c r="F45" s="1"/>
      <c r="G45" s="8"/>
      <c r="H45" s="1"/>
      <c r="J45" s="63">
        <f>3*H5</f>
        <v>30</v>
      </c>
      <c r="K45" s="66" t="s">
        <v>92</v>
      </c>
      <c r="L45" s="40">
        <f>7*H5</f>
        <v>70</v>
      </c>
      <c r="M45" s="33" t="s">
        <v>8</v>
      </c>
      <c r="W45" s="1"/>
      <c r="X45" s="1"/>
      <c r="Y45" t="s">
        <v>99</v>
      </c>
    </row>
    <row r="46" spans="1:28" x14ac:dyDescent="0.3">
      <c r="B46" t="s">
        <v>44</v>
      </c>
      <c r="F46" s="1"/>
      <c r="G46" s="8"/>
      <c r="H46" s="1"/>
      <c r="J46" s="69">
        <v>14</v>
      </c>
      <c r="K46" s="33" t="s">
        <v>95</v>
      </c>
      <c r="L46" s="40">
        <v>14</v>
      </c>
      <c r="M46" s="33" t="s">
        <v>95</v>
      </c>
      <c r="N46" s="31">
        <v>3000</v>
      </c>
      <c r="O46" s="24" t="s">
        <v>98</v>
      </c>
      <c r="P46" s="31">
        <v>3000</v>
      </c>
      <c r="Q46" s="24" t="s">
        <v>98</v>
      </c>
      <c r="W46" s="1"/>
      <c r="X46" s="1"/>
      <c r="Y46" t="s">
        <v>96</v>
      </c>
    </row>
    <row r="47" spans="1:28" x14ac:dyDescent="0.3">
      <c r="B47" t="s">
        <v>34</v>
      </c>
      <c r="J47" s="69">
        <v>2</v>
      </c>
      <c r="L47" s="40">
        <v>2</v>
      </c>
      <c r="W47" s="1"/>
      <c r="X47" s="1"/>
    </row>
    <row r="48" spans="1:28" x14ac:dyDescent="0.3">
      <c r="B48" s="4" t="s">
        <v>42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6">
        <v>0.5</v>
      </c>
      <c r="X48" s="56">
        <f>W48*'Staff Expenses'!I7</f>
        <v>15.845703125</v>
      </c>
    </row>
    <row r="49" spans="1:25" x14ac:dyDescent="0.3">
      <c r="B49" s="35" t="s">
        <v>100</v>
      </c>
      <c r="C49" s="35"/>
      <c r="D49" s="35"/>
      <c r="E49" s="51"/>
      <c r="F49" s="51"/>
      <c r="G49" s="51"/>
      <c r="H49" s="51"/>
      <c r="I49" s="51"/>
      <c r="J49" s="51">
        <f>J38+J42+L44+J46+J47+L45</f>
        <v>314</v>
      </c>
      <c r="K49" s="51"/>
      <c r="L49" s="51">
        <f>J38+L42+L44+L45+L46+L47</f>
        <v>316.39999999999998</v>
      </c>
      <c r="M49" s="51"/>
      <c r="N49" s="51">
        <f>SUM(N38:N48)</f>
        <v>3000</v>
      </c>
      <c r="O49" s="51"/>
      <c r="P49" s="51">
        <f>SUM(P38:P48)</f>
        <v>3000</v>
      </c>
      <c r="Q49" s="51"/>
      <c r="R49" s="51">
        <v>0</v>
      </c>
      <c r="S49" s="51"/>
      <c r="T49" s="51">
        <f>SUM(T38:T48)</f>
        <v>0</v>
      </c>
      <c r="U49" s="52"/>
      <c r="V49" s="52"/>
      <c r="W49" s="51">
        <f>SUM(W38:W48)</f>
        <v>1.25</v>
      </c>
      <c r="X49" s="51">
        <f>W49*'Staff Expenses'!$I$7</f>
        <v>39.6142578125</v>
      </c>
    </row>
    <row r="50" spans="1:25" x14ac:dyDescent="0.3">
      <c r="B50" s="53" t="s">
        <v>101</v>
      </c>
      <c r="C50" s="53"/>
      <c r="D50" s="53"/>
      <c r="E50" s="54"/>
      <c r="F50" s="54"/>
      <c r="G50" s="54"/>
      <c r="H50" s="54"/>
      <c r="I50" s="54"/>
      <c r="J50" s="54">
        <f>J39+L42+J44+J45+J46+J47</f>
        <v>185.2</v>
      </c>
      <c r="K50" s="54"/>
      <c r="L50" s="54">
        <f>L39+L42+J44+J45+J46+J47</f>
        <v>257.2</v>
      </c>
      <c r="M50" s="54"/>
      <c r="N50" s="54">
        <f>N46</f>
        <v>3000</v>
      </c>
      <c r="O50" s="54"/>
      <c r="P50" s="54">
        <f>P46</f>
        <v>3000</v>
      </c>
      <c r="Q50" s="54"/>
      <c r="R50" s="54">
        <f>R49</f>
        <v>0</v>
      </c>
      <c r="S50" s="54"/>
      <c r="T50" s="54">
        <f>T49</f>
        <v>0</v>
      </c>
      <c r="U50" s="55"/>
      <c r="V50" s="55"/>
      <c r="W50" s="54">
        <f t="shared" ref="W50:X52" si="2">W49</f>
        <v>1.25</v>
      </c>
      <c r="X50" s="54">
        <f t="shared" si="2"/>
        <v>39.6142578125</v>
      </c>
    </row>
    <row r="51" spans="1:25" x14ac:dyDescent="0.3">
      <c r="B51" s="82" t="s">
        <v>111</v>
      </c>
      <c r="C51" s="82"/>
      <c r="D51" s="82"/>
      <c r="E51" s="82"/>
      <c r="F51" s="87"/>
      <c r="G51" s="87"/>
      <c r="H51" s="87"/>
      <c r="I51" s="87"/>
      <c r="J51" s="87">
        <f>J42+J44+J45+J46+J47</f>
        <v>110.8</v>
      </c>
      <c r="K51" s="87"/>
      <c r="L51" s="87">
        <f>L47+L46+J45+J44+L42</f>
        <v>113.2</v>
      </c>
      <c r="M51" s="87"/>
      <c r="N51" s="87">
        <f>N46</f>
        <v>3000</v>
      </c>
      <c r="O51" s="87"/>
      <c r="P51" s="87">
        <f>N51</f>
        <v>3000</v>
      </c>
      <c r="Q51" s="87"/>
      <c r="R51" s="87">
        <f>R44</f>
        <v>0</v>
      </c>
      <c r="S51" s="87"/>
      <c r="T51" s="87">
        <f>R51</f>
        <v>0</v>
      </c>
      <c r="U51" s="87"/>
      <c r="V51" s="88"/>
      <c r="W51" s="87">
        <f t="shared" si="2"/>
        <v>1.25</v>
      </c>
      <c r="X51" s="87">
        <f t="shared" si="2"/>
        <v>39.6142578125</v>
      </c>
    </row>
    <row r="52" spans="1:25" x14ac:dyDescent="0.3">
      <c r="B52" s="82" t="s">
        <v>117</v>
      </c>
      <c r="C52" s="82"/>
      <c r="D52" s="82"/>
      <c r="E52" s="82"/>
      <c r="F52" s="87"/>
      <c r="G52" s="87"/>
      <c r="H52" s="87"/>
      <c r="I52" s="87"/>
      <c r="J52" s="87">
        <f>J38+J42+L44+L45+J46+J47</f>
        <v>314</v>
      </c>
      <c r="K52" s="87"/>
      <c r="L52" s="87">
        <f>J38+L42+L44+L45+L46+L47</f>
        <v>316.39999999999998</v>
      </c>
      <c r="M52" s="87"/>
      <c r="N52" s="87">
        <f>N46</f>
        <v>3000</v>
      </c>
      <c r="O52" s="87"/>
      <c r="P52" s="87">
        <f>N52</f>
        <v>3000</v>
      </c>
      <c r="Q52" s="87"/>
      <c r="R52" s="87">
        <f>R45</f>
        <v>0</v>
      </c>
      <c r="S52" s="87"/>
      <c r="T52" s="87">
        <f>R52</f>
        <v>0</v>
      </c>
      <c r="U52" s="87"/>
      <c r="V52" s="88"/>
      <c r="W52" s="87">
        <f t="shared" si="2"/>
        <v>1.25</v>
      </c>
      <c r="X52" s="87">
        <f t="shared" si="2"/>
        <v>39.6142578125</v>
      </c>
    </row>
    <row r="53" spans="1:25" s="26" customFormat="1" x14ac:dyDescent="0.3">
      <c r="B53" s="96"/>
      <c r="C53" s="96"/>
      <c r="D53" s="96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7"/>
      <c r="V53" s="97"/>
      <c r="W53" s="94"/>
      <c r="X53" s="94"/>
    </row>
    <row r="54" spans="1:25" x14ac:dyDescent="0.3">
      <c r="A54" s="2" t="s">
        <v>43</v>
      </c>
      <c r="W54" s="1"/>
      <c r="X54" s="1"/>
    </row>
    <row r="55" spans="1:25" x14ac:dyDescent="0.3">
      <c r="F55" s="100" t="s">
        <v>14</v>
      </c>
      <c r="G55" s="100"/>
      <c r="H55" s="100"/>
      <c r="I55" s="100"/>
      <c r="J55" s="100"/>
      <c r="K55" s="100"/>
      <c r="L55" s="100"/>
      <c r="M55" s="100"/>
      <c r="N55" s="104" t="s">
        <v>16</v>
      </c>
      <c r="O55" s="104"/>
      <c r="P55" s="104"/>
      <c r="Q55" s="104"/>
      <c r="R55" s="104"/>
      <c r="S55" s="104"/>
      <c r="T55" s="104"/>
      <c r="U55" s="104"/>
    </row>
    <row r="56" spans="1:25" x14ac:dyDescent="0.3">
      <c r="B56" s="3"/>
      <c r="C56" s="3"/>
      <c r="D56" s="3"/>
      <c r="E56" s="3"/>
      <c r="F56" s="101" t="s">
        <v>6</v>
      </c>
      <c r="G56" s="101"/>
      <c r="H56" s="101"/>
      <c r="I56" s="101"/>
      <c r="J56" s="101" t="s">
        <v>11</v>
      </c>
      <c r="K56" s="101"/>
      <c r="L56" s="101"/>
      <c r="M56" s="101"/>
      <c r="N56" s="7"/>
      <c r="O56" s="7"/>
      <c r="P56" s="7"/>
      <c r="Q56" s="3"/>
      <c r="R56" s="3"/>
      <c r="S56" s="3"/>
      <c r="T56" s="3"/>
      <c r="U56" s="3"/>
      <c r="V56" s="3"/>
      <c r="W56" s="101" t="s">
        <v>63</v>
      </c>
      <c r="X56" s="101"/>
    </row>
    <row r="57" spans="1:25" x14ac:dyDescent="0.3">
      <c r="B57" s="4" t="s">
        <v>7</v>
      </c>
      <c r="C57" s="4"/>
      <c r="D57" s="4"/>
      <c r="E57" s="4"/>
      <c r="F57" s="102" t="s">
        <v>10</v>
      </c>
      <c r="G57" s="102"/>
      <c r="H57" s="102"/>
      <c r="I57" s="102"/>
      <c r="J57" s="102" t="s">
        <v>9</v>
      </c>
      <c r="K57" s="102"/>
      <c r="L57" s="102"/>
      <c r="M57" s="102"/>
      <c r="N57" s="102" t="s">
        <v>12</v>
      </c>
      <c r="O57" s="102"/>
      <c r="P57" s="102"/>
      <c r="Q57" s="102"/>
      <c r="R57" s="6"/>
      <c r="S57" s="103" t="s">
        <v>13</v>
      </c>
      <c r="T57" s="103"/>
      <c r="U57" s="103"/>
      <c r="V57" s="4"/>
      <c r="W57" s="6" t="s">
        <v>15</v>
      </c>
      <c r="X57" s="6" t="s">
        <v>64</v>
      </c>
    </row>
    <row r="58" spans="1:25" x14ac:dyDescent="0.3">
      <c r="F58" s="1" t="s">
        <v>86</v>
      </c>
      <c r="G58" s="1" t="s">
        <v>87</v>
      </c>
      <c r="H58" s="1" t="s">
        <v>88</v>
      </c>
      <c r="I58" s="1"/>
      <c r="J58" s="1" t="s">
        <v>86</v>
      </c>
      <c r="K58" s="1" t="s">
        <v>87</v>
      </c>
      <c r="L58" s="1" t="s">
        <v>88</v>
      </c>
      <c r="M58" s="1"/>
      <c r="N58" s="1" t="s">
        <v>86</v>
      </c>
      <c r="O58" s="1" t="s">
        <v>87</v>
      </c>
      <c r="P58" s="1" t="s">
        <v>88</v>
      </c>
      <c r="Q58" s="1"/>
      <c r="R58" s="1" t="s">
        <v>86</v>
      </c>
      <c r="S58" s="1" t="s">
        <v>87</v>
      </c>
      <c r="T58" s="1" t="s">
        <v>88</v>
      </c>
      <c r="U58" s="1"/>
    </row>
    <row r="59" spans="1:25" x14ac:dyDescent="0.3">
      <c r="B59" t="s">
        <v>45</v>
      </c>
      <c r="G59" s="14"/>
      <c r="H59" s="14"/>
      <c r="I59" s="14"/>
      <c r="J59" s="47">
        <v>0</v>
      </c>
      <c r="K59" s="48" t="s">
        <v>8</v>
      </c>
      <c r="L59" s="58">
        <v>25</v>
      </c>
      <c r="M59" s="61" t="s">
        <v>75</v>
      </c>
      <c r="N59" s="61">
        <v>2000</v>
      </c>
      <c r="O59" s="61" t="s">
        <v>75</v>
      </c>
      <c r="P59" s="48">
        <v>1200</v>
      </c>
      <c r="Q59" s="48" t="s">
        <v>8</v>
      </c>
      <c r="R59" s="47">
        <v>0</v>
      </c>
      <c r="S59" s="48" t="s">
        <v>8</v>
      </c>
      <c r="T59" s="61">
        <v>2000</v>
      </c>
      <c r="U59" s="62" t="s">
        <v>75</v>
      </c>
      <c r="W59" s="72">
        <v>0.1</v>
      </c>
      <c r="X59" s="72">
        <f>W59*'Staff Expenses'!I7</f>
        <v>3.1691406250000003</v>
      </c>
      <c r="Y59" t="s">
        <v>110</v>
      </c>
    </row>
    <row r="60" spans="1:25" x14ac:dyDescent="0.3">
      <c r="B60" t="s">
        <v>138</v>
      </c>
      <c r="G60" s="14"/>
      <c r="H60" s="14"/>
      <c r="I60" s="14"/>
      <c r="J60" s="49">
        <v>0.25</v>
      </c>
      <c r="K60" s="14"/>
      <c r="L60" s="59">
        <v>0.25</v>
      </c>
      <c r="M60" s="14"/>
      <c r="N60" s="61">
        <v>238</v>
      </c>
      <c r="O60" s="14"/>
      <c r="P60" s="48">
        <v>238</v>
      </c>
      <c r="Q60" s="14"/>
      <c r="R60" s="48">
        <v>1000</v>
      </c>
      <c r="S60" s="14"/>
      <c r="T60" s="32">
        <v>7500</v>
      </c>
      <c r="W60" s="72">
        <v>0.1</v>
      </c>
      <c r="X60" s="72">
        <f>W60*'Staff Expenses'!I7</f>
        <v>3.1691406250000003</v>
      </c>
    </row>
    <row r="61" spans="1:25" x14ac:dyDescent="0.3">
      <c r="B61" t="s">
        <v>139</v>
      </c>
      <c r="G61" s="14"/>
      <c r="H61" s="14"/>
      <c r="I61" s="14"/>
      <c r="J61" s="14"/>
      <c r="K61" s="14"/>
      <c r="L61" s="14"/>
      <c r="M61" s="14"/>
      <c r="N61" s="61">
        <v>150</v>
      </c>
      <c r="O61" s="61" t="s">
        <v>50</v>
      </c>
      <c r="P61" s="50">
        <v>150</v>
      </c>
      <c r="Q61" s="50" t="s">
        <v>50</v>
      </c>
      <c r="R61" s="14"/>
      <c r="S61" s="14"/>
      <c r="T61" s="14"/>
      <c r="W61" s="72">
        <v>0.1</v>
      </c>
      <c r="X61" s="72">
        <f>W61*'Staff Expenses'!I7</f>
        <v>3.1691406250000003</v>
      </c>
      <c r="Y61" t="s">
        <v>49</v>
      </c>
    </row>
    <row r="62" spans="1:25" x14ac:dyDescent="0.3">
      <c r="B62" s="4" t="s">
        <v>137</v>
      </c>
      <c r="C62" s="4"/>
      <c r="D62" s="4"/>
      <c r="E62" s="4"/>
      <c r="F62" s="4"/>
      <c r="G62" s="15"/>
      <c r="H62" s="15"/>
      <c r="I62" s="15"/>
      <c r="J62" s="57">
        <v>2</v>
      </c>
      <c r="K62" s="15"/>
      <c r="L62" s="60">
        <v>2</v>
      </c>
      <c r="M62" s="15"/>
      <c r="N62" s="15"/>
      <c r="O62" s="15"/>
      <c r="P62" s="15"/>
      <c r="Q62" s="15"/>
      <c r="R62" s="15"/>
      <c r="S62" s="15"/>
      <c r="T62" s="15"/>
      <c r="U62" s="4"/>
      <c r="V62" s="4"/>
      <c r="W62" s="4"/>
      <c r="X62" s="4"/>
    </row>
    <row r="63" spans="1:25" x14ac:dyDescent="0.3">
      <c r="B63" s="35" t="s">
        <v>100</v>
      </c>
      <c r="C63" s="35"/>
      <c r="D63" s="35"/>
      <c r="E63" s="51"/>
      <c r="F63" s="51"/>
      <c r="G63" s="51"/>
      <c r="H63" s="51"/>
      <c r="I63" s="51"/>
      <c r="J63" s="51">
        <f>J59+J60+J62</f>
        <v>2.25</v>
      </c>
      <c r="K63" s="51"/>
      <c r="L63" s="51">
        <f>J59+J60+J62</f>
        <v>2.25</v>
      </c>
      <c r="M63" s="51"/>
      <c r="N63" s="51">
        <f>P59+P60+P61</f>
        <v>1588</v>
      </c>
      <c r="O63" s="51"/>
      <c r="P63" s="51">
        <f>P59+P60+P61</f>
        <v>1588</v>
      </c>
      <c r="Q63" s="51"/>
      <c r="R63" s="51">
        <f>R59+R60</f>
        <v>1000</v>
      </c>
      <c r="S63" s="51"/>
      <c r="T63" s="51">
        <f>R59+R60</f>
        <v>1000</v>
      </c>
      <c r="U63" s="51"/>
      <c r="V63" s="51"/>
      <c r="W63" s="51">
        <f>SUM(W58:W62)</f>
        <v>0.30000000000000004</v>
      </c>
      <c r="X63" s="51">
        <f>SUM(X58:X62)</f>
        <v>9.5074218750000004</v>
      </c>
    </row>
    <row r="64" spans="1:25" x14ac:dyDescent="0.3">
      <c r="B64" s="35" t="s">
        <v>123</v>
      </c>
      <c r="C64" s="35"/>
      <c r="D64" s="35"/>
      <c r="E64" s="51"/>
      <c r="F64" s="51"/>
      <c r="G64" s="51"/>
      <c r="H64" s="51"/>
      <c r="I64" s="51"/>
      <c r="J64" s="51">
        <f>J60+J62+L59</f>
        <v>27.25</v>
      </c>
      <c r="K64" s="51"/>
      <c r="L64" s="51">
        <f>J64</f>
        <v>27.25</v>
      </c>
      <c r="M64" s="51"/>
      <c r="N64" s="51">
        <f>N59+N60+N61</f>
        <v>2388</v>
      </c>
      <c r="O64" s="51"/>
      <c r="P64" s="51">
        <f>N64</f>
        <v>2388</v>
      </c>
      <c r="Q64" s="51"/>
      <c r="R64" s="51">
        <f>T59+R60</f>
        <v>3000</v>
      </c>
      <c r="S64" s="51"/>
      <c r="T64" s="51">
        <f>R64</f>
        <v>3000</v>
      </c>
      <c r="U64" s="51"/>
      <c r="V64" s="51"/>
      <c r="W64" s="51">
        <f>W63</f>
        <v>0.30000000000000004</v>
      </c>
      <c r="X64" s="51">
        <f>X63</f>
        <v>9.5074218750000004</v>
      </c>
    </row>
    <row r="65" spans="2:25" x14ac:dyDescent="0.3">
      <c r="B65" s="53" t="s">
        <v>101</v>
      </c>
      <c r="C65" s="53"/>
      <c r="D65" s="53"/>
      <c r="E65" s="54"/>
      <c r="F65" s="54"/>
      <c r="G65" s="54"/>
      <c r="H65" s="54"/>
      <c r="I65" s="54"/>
      <c r="J65" s="54">
        <f>L59+L60+L62</f>
        <v>27.25</v>
      </c>
      <c r="K65" s="54"/>
      <c r="L65" s="54">
        <f>L59+L60+L62</f>
        <v>27.25</v>
      </c>
      <c r="M65" s="54"/>
      <c r="N65" s="54">
        <f>N59+N60+N61</f>
        <v>2388</v>
      </c>
      <c r="O65" s="54"/>
      <c r="P65" s="54">
        <f>N59+N60+N61</f>
        <v>2388</v>
      </c>
      <c r="Q65" s="54"/>
      <c r="R65" s="54">
        <f>T59+R60</f>
        <v>3000</v>
      </c>
      <c r="S65" s="54"/>
      <c r="T65" s="54">
        <f>T59+R60</f>
        <v>3000</v>
      </c>
      <c r="U65" s="55"/>
      <c r="V65" s="55"/>
      <c r="W65" s="54">
        <f>W63</f>
        <v>0.30000000000000004</v>
      </c>
      <c r="X65" s="54">
        <f>X63</f>
        <v>9.5074218750000004</v>
      </c>
    </row>
    <row r="66" spans="2:25" x14ac:dyDescent="0.3">
      <c r="B66" s="82" t="s">
        <v>111</v>
      </c>
      <c r="C66" s="82"/>
      <c r="D66" s="82"/>
      <c r="E66" s="82"/>
      <c r="F66" s="87"/>
      <c r="G66" s="87"/>
      <c r="H66" s="87"/>
      <c r="I66" s="87"/>
      <c r="J66" s="87">
        <f>J59+J60+J62</f>
        <v>2.25</v>
      </c>
      <c r="K66" s="87"/>
      <c r="L66" s="87">
        <f>J59+L60+L62</f>
        <v>2.25</v>
      </c>
      <c r="M66" s="87"/>
      <c r="N66" s="87">
        <f>N60+N61</f>
        <v>388</v>
      </c>
      <c r="O66" s="87"/>
      <c r="P66" s="87">
        <f>N66</f>
        <v>388</v>
      </c>
      <c r="Q66" s="87"/>
      <c r="R66" s="87">
        <f>R60</f>
        <v>1000</v>
      </c>
      <c r="S66" s="87"/>
      <c r="T66" s="87">
        <f>R60</f>
        <v>1000</v>
      </c>
      <c r="U66" s="87"/>
      <c r="V66" s="88"/>
      <c r="W66" s="87">
        <f>W65</f>
        <v>0.30000000000000004</v>
      </c>
      <c r="X66" s="87">
        <f>X65</f>
        <v>9.5074218750000004</v>
      </c>
    </row>
    <row r="67" spans="2:25" ht="15" thickBot="1" x14ac:dyDescent="0.35">
      <c r="B67" s="73"/>
      <c r="C67" s="73"/>
      <c r="D67" s="73"/>
      <c r="E67" s="73"/>
      <c r="F67" s="73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3"/>
      <c r="V67" s="73"/>
      <c r="W67" s="73"/>
      <c r="X67" s="73"/>
    </row>
    <row r="68" spans="2:25" ht="15" thickTop="1" x14ac:dyDescent="0.3">
      <c r="B68" s="35" t="s">
        <v>102</v>
      </c>
      <c r="C68" s="35"/>
      <c r="D68" s="35"/>
      <c r="E68" s="51"/>
      <c r="F68" s="51"/>
      <c r="G68" s="51"/>
      <c r="H68" s="51"/>
      <c r="I68" s="51"/>
      <c r="J68" s="51">
        <f>J63+J49+J25</f>
        <v>374.07499999999999</v>
      </c>
      <c r="K68" s="51"/>
      <c r="L68" s="51">
        <f>L63+L49+L25</f>
        <v>376.72499999999997</v>
      </c>
      <c r="M68" s="51"/>
      <c r="N68" s="51">
        <f>N63+N49+N25</f>
        <v>4918</v>
      </c>
      <c r="O68" s="51"/>
      <c r="P68" s="51">
        <f>P63+P49+P25</f>
        <v>4918</v>
      </c>
      <c r="Q68" s="51"/>
      <c r="R68" s="51">
        <f>R63+R49+R25</f>
        <v>1000</v>
      </c>
      <c r="S68" s="51"/>
      <c r="T68" s="51">
        <f>T63+T49+T25</f>
        <v>1000</v>
      </c>
      <c r="U68" s="51"/>
      <c r="V68" s="51"/>
      <c r="W68" s="51">
        <f>W63+W49+W25</f>
        <v>7.4666666666666668</v>
      </c>
      <c r="X68" s="51">
        <f>X63+X49+X25</f>
        <v>289.90998263888889</v>
      </c>
    </row>
    <row r="69" spans="2:25" x14ac:dyDescent="0.3">
      <c r="B69" s="35" t="s">
        <v>124</v>
      </c>
      <c r="C69" s="35"/>
      <c r="D69" s="35"/>
      <c r="E69" s="51"/>
      <c r="F69" s="51"/>
      <c r="G69" s="51"/>
      <c r="H69" s="51"/>
      <c r="I69" s="51"/>
      <c r="J69" s="51">
        <f>J26+J49+J64</f>
        <v>369.875</v>
      </c>
      <c r="K69" s="51"/>
      <c r="L69" s="51">
        <f>L26+L49+L64</f>
        <v>372.27499999999998</v>
      </c>
      <c r="M69" s="51"/>
      <c r="N69" s="51">
        <f>N26+N49+N64</f>
        <v>5718</v>
      </c>
      <c r="O69" s="51"/>
      <c r="P69" s="51">
        <f>P26+P49+P64</f>
        <v>5718</v>
      </c>
      <c r="Q69" s="51"/>
      <c r="R69" s="51">
        <f>R26+R49+R64</f>
        <v>3000</v>
      </c>
      <c r="S69" s="51"/>
      <c r="T69" s="51">
        <f>T26+T49+T64</f>
        <v>3000</v>
      </c>
      <c r="U69" s="51"/>
      <c r="V69" s="51"/>
      <c r="W69" s="51">
        <f>W26+W49+W64</f>
        <v>3.8</v>
      </c>
      <c r="X69" s="51">
        <f>X26+X49+X64</f>
        <v>140.68906250000001</v>
      </c>
    </row>
    <row r="70" spans="2:25" x14ac:dyDescent="0.3">
      <c r="B70" s="53" t="s">
        <v>103</v>
      </c>
      <c r="C70" s="53"/>
      <c r="D70" s="53"/>
      <c r="E70" s="54"/>
      <c r="F70" s="54"/>
      <c r="G70" s="54"/>
      <c r="H70" s="54"/>
      <c r="I70" s="54"/>
      <c r="J70" s="54">
        <f>J28+J50+J65</f>
        <v>266.52499999999998</v>
      </c>
      <c r="K70" s="54"/>
      <c r="L70" s="54">
        <f>L28+L50+L65</f>
        <v>358.52499999999998</v>
      </c>
      <c r="M70" s="54"/>
      <c r="N70" s="54">
        <f>N28+N50+N65</f>
        <v>5718</v>
      </c>
      <c r="O70" s="54"/>
      <c r="P70" s="54">
        <f>P28+P50+P65</f>
        <v>5718</v>
      </c>
      <c r="Q70" s="54"/>
      <c r="R70" s="54">
        <f>R28+R50+R65</f>
        <v>3000</v>
      </c>
      <c r="S70" s="54"/>
      <c r="T70" s="54">
        <f>T28+T50+T65</f>
        <v>3000</v>
      </c>
      <c r="U70" s="54"/>
      <c r="V70" s="54"/>
      <c r="W70" s="54">
        <f>W28+W50+W65</f>
        <v>7.4666666666666668</v>
      </c>
      <c r="X70" s="54">
        <f>X28+X50+X65</f>
        <v>289.90998263888889</v>
      </c>
      <c r="Y70" s="98"/>
    </row>
    <row r="71" spans="2:25" x14ac:dyDescent="0.3">
      <c r="B71" s="53" t="s">
        <v>126</v>
      </c>
      <c r="C71" s="53"/>
      <c r="D71" s="53"/>
      <c r="E71" s="54"/>
      <c r="F71" s="54"/>
      <c r="G71" s="54"/>
      <c r="H71" s="54"/>
      <c r="I71" s="54"/>
      <c r="J71" s="54">
        <f>J29+J50+J65</f>
        <v>241.45</v>
      </c>
      <c r="K71" s="54"/>
      <c r="L71" s="54">
        <f t="shared" ref="L71:X71" si="3">L29+L50+L65</f>
        <v>313.45</v>
      </c>
      <c r="M71" s="54"/>
      <c r="N71" s="54">
        <f t="shared" si="3"/>
        <v>5718</v>
      </c>
      <c r="O71" s="54"/>
      <c r="P71" s="54">
        <f t="shared" si="3"/>
        <v>5718</v>
      </c>
      <c r="Q71" s="54"/>
      <c r="R71" s="54">
        <f t="shared" si="3"/>
        <v>3000</v>
      </c>
      <c r="S71" s="54"/>
      <c r="T71" s="54">
        <f t="shared" si="3"/>
        <v>3000</v>
      </c>
      <c r="U71" s="54"/>
      <c r="V71" s="54"/>
      <c r="W71" s="54">
        <f t="shared" si="3"/>
        <v>3.8</v>
      </c>
      <c r="X71" s="54">
        <f t="shared" si="3"/>
        <v>140.68906250000001</v>
      </c>
      <c r="Y71" s="98"/>
    </row>
    <row r="72" spans="2:25" x14ac:dyDescent="0.3">
      <c r="B72" s="82" t="s">
        <v>113</v>
      </c>
      <c r="C72" s="82"/>
      <c r="D72" s="82"/>
      <c r="E72" s="87"/>
      <c r="F72" s="87"/>
      <c r="G72" s="87"/>
      <c r="H72" s="87"/>
      <c r="I72" s="87"/>
      <c r="J72" s="87">
        <f>J30+J51+J66</f>
        <v>141.05000000000001</v>
      </c>
      <c r="K72" s="87"/>
      <c r="L72" s="87">
        <f>L30+L51+L66</f>
        <v>143.44999999999999</v>
      </c>
      <c r="M72" s="87"/>
      <c r="N72" s="87">
        <f>N30+N51+N66</f>
        <v>3718</v>
      </c>
      <c r="O72" s="87"/>
      <c r="P72" s="87">
        <f>P30+P51+P66</f>
        <v>3718</v>
      </c>
      <c r="Q72" s="87"/>
      <c r="R72" s="87">
        <f>R30+R51+R66</f>
        <v>1000</v>
      </c>
      <c r="S72" s="87"/>
      <c r="T72" s="87">
        <f>T30+T51+T66</f>
        <v>1000</v>
      </c>
      <c r="U72" s="87"/>
      <c r="V72" s="87"/>
      <c r="W72" s="87">
        <f>W30+W51+W66</f>
        <v>1.55</v>
      </c>
      <c r="X72" s="87">
        <f>X30+X51+X66</f>
        <v>49.121679687499999</v>
      </c>
      <c r="Y72" s="98"/>
    </row>
    <row r="73" spans="2:25" x14ac:dyDescent="0.3">
      <c r="B73" s="82" t="s">
        <v>118</v>
      </c>
      <c r="C73" s="82"/>
      <c r="D73" s="82"/>
      <c r="E73" s="87"/>
      <c r="F73" s="87"/>
      <c r="G73" s="87"/>
      <c r="H73" s="87"/>
      <c r="I73" s="87"/>
      <c r="J73" s="87">
        <f>J66+J52+J31</f>
        <v>358.32499999999999</v>
      </c>
      <c r="K73" s="87"/>
      <c r="L73" s="87">
        <f>L66+L52+L31</f>
        <v>360.72499999999997</v>
      </c>
      <c r="M73" s="87"/>
      <c r="N73" s="87">
        <f>N72</f>
        <v>3718</v>
      </c>
      <c r="O73" s="87"/>
      <c r="P73" s="87">
        <f>P72</f>
        <v>3718</v>
      </c>
      <c r="Q73" s="87"/>
      <c r="R73" s="87">
        <f>R72</f>
        <v>1000</v>
      </c>
      <c r="S73" s="87"/>
      <c r="T73" s="87">
        <f>T72</f>
        <v>1000</v>
      </c>
      <c r="U73" s="87"/>
      <c r="V73" s="87"/>
      <c r="W73" s="87">
        <f>W72</f>
        <v>1.55</v>
      </c>
      <c r="X73" s="87">
        <f>X72</f>
        <v>49.121679687499999</v>
      </c>
      <c r="Y73" s="98"/>
    </row>
    <row r="74" spans="2:25" x14ac:dyDescent="0.3">
      <c r="Y74" s="26"/>
    </row>
    <row r="75" spans="2:25" x14ac:dyDescent="0.3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4" t="s">
        <v>51</v>
      </c>
    </row>
    <row r="76" spans="2:25" x14ac:dyDescent="0.3">
      <c r="B76" s="35" t="s">
        <v>66</v>
      </c>
      <c r="C76" s="33"/>
      <c r="D76" s="35" t="s">
        <v>14</v>
      </c>
      <c r="E76" s="35"/>
      <c r="F76" s="33"/>
      <c r="G76" s="33"/>
      <c r="H76" s="33"/>
      <c r="I76" s="33"/>
      <c r="J76" s="36">
        <f>J68</f>
        <v>374.07499999999999</v>
      </c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6">
        <f>X68</f>
        <v>289.90998263888889</v>
      </c>
      <c r="Y76" s="36">
        <f>J76+X76</f>
        <v>663.98498263888882</v>
      </c>
    </row>
    <row r="77" spans="2:25" x14ac:dyDescent="0.3">
      <c r="B77" s="33"/>
      <c r="C77" s="33"/>
      <c r="D77" s="35" t="s">
        <v>67</v>
      </c>
      <c r="E77" s="35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6">
        <f>N68+R68</f>
        <v>5918</v>
      </c>
      <c r="Q77" s="33"/>
      <c r="R77" s="33"/>
      <c r="S77" s="33"/>
      <c r="T77" s="33"/>
      <c r="U77" s="33"/>
      <c r="V77" s="33"/>
      <c r="W77" s="33"/>
      <c r="X77" s="33"/>
      <c r="Y77" s="36">
        <f>P77</f>
        <v>5918</v>
      </c>
    </row>
    <row r="78" spans="2:25" x14ac:dyDescent="0.3">
      <c r="B78" s="33"/>
      <c r="C78" s="33"/>
      <c r="D78" s="35" t="s">
        <v>68</v>
      </c>
      <c r="E78" s="35"/>
      <c r="F78" s="37">
        <v>30</v>
      </c>
      <c r="G78" s="33"/>
      <c r="H78" s="33"/>
      <c r="I78" s="33"/>
      <c r="J78" s="33"/>
      <c r="K78" s="33"/>
      <c r="L78" s="33"/>
      <c r="M78" s="33"/>
      <c r="N78" s="33"/>
      <c r="O78" s="33"/>
      <c r="P78" s="38">
        <f>$P$77/F78</f>
        <v>197.26666666666668</v>
      </c>
      <c r="Q78" s="33"/>
      <c r="R78" s="33"/>
      <c r="S78" s="33"/>
      <c r="T78" s="33"/>
      <c r="U78" s="33"/>
      <c r="V78" s="33"/>
      <c r="W78" s="33"/>
      <c r="X78" s="33"/>
      <c r="Y78" s="33"/>
    </row>
    <row r="79" spans="2:25" x14ac:dyDescent="0.3">
      <c r="B79" s="33"/>
      <c r="C79" s="33"/>
      <c r="D79" s="33"/>
      <c r="E79" s="33"/>
      <c r="F79" s="37">
        <v>100</v>
      </c>
      <c r="G79" s="33"/>
      <c r="H79" s="33"/>
      <c r="I79" s="33"/>
      <c r="J79" s="33"/>
      <c r="K79" s="33"/>
      <c r="L79" s="33"/>
      <c r="M79" s="33"/>
      <c r="N79" s="33"/>
      <c r="O79" s="33"/>
      <c r="P79" s="38">
        <f t="shared" ref="P79:P80" si="4">$P$77/F79</f>
        <v>59.18</v>
      </c>
      <c r="Q79" s="33"/>
      <c r="R79" s="33"/>
      <c r="S79" s="33"/>
      <c r="T79" s="33"/>
      <c r="U79" s="33"/>
      <c r="V79" s="33"/>
      <c r="W79" s="33"/>
      <c r="X79" s="33"/>
      <c r="Y79" s="33"/>
    </row>
    <row r="80" spans="2:25" x14ac:dyDescent="0.3">
      <c r="B80" s="33"/>
      <c r="C80" s="33"/>
      <c r="D80" s="33"/>
      <c r="E80" s="33"/>
      <c r="F80" s="37">
        <v>1000</v>
      </c>
      <c r="G80" s="33"/>
      <c r="H80" s="33"/>
      <c r="I80" s="33"/>
      <c r="J80" s="33"/>
      <c r="K80" s="33"/>
      <c r="L80" s="33"/>
      <c r="M80" s="33"/>
      <c r="N80" s="33"/>
      <c r="O80" s="33"/>
      <c r="P80" s="38">
        <f t="shared" si="4"/>
        <v>5.9180000000000001</v>
      </c>
      <c r="Q80" s="33"/>
      <c r="R80" s="33"/>
      <c r="S80" s="33"/>
      <c r="T80" s="33"/>
      <c r="U80" s="33"/>
      <c r="V80" s="33"/>
      <c r="W80" s="33"/>
      <c r="X80" s="33"/>
      <c r="Y80" s="33"/>
    </row>
    <row r="81" spans="2:25" x14ac:dyDescent="0.3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</row>
    <row r="82" spans="2:25" x14ac:dyDescent="0.3">
      <c r="B82" s="33"/>
      <c r="C82" s="33"/>
      <c r="D82" s="33" t="s">
        <v>69</v>
      </c>
      <c r="E82" s="33"/>
      <c r="F82" s="36">
        <f>J76+X76+P80</f>
        <v>669.90298263888883</v>
      </c>
      <c r="G82" s="33"/>
      <c r="H82" s="33" t="s">
        <v>70</v>
      </c>
      <c r="I82" s="33"/>
      <c r="J82" s="39">
        <f>J76+X76+P79</f>
        <v>723.16498263888877</v>
      </c>
      <c r="K82" s="33"/>
      <c r="L82" s="33" t="s">
        <v>136</v>
      </c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2:25" x14ac:dyDescent="0.3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</row>
    <row r="84" spans="2:25" x14ac:dyDescent="0.3">
      <c r="B84" s="33" t="s">
        <v>120</v>
      </c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</row>
    <row r="85" spans="2:25" s="26" customFormat="1" x14ac:dyDescent="0.3"/>
    <row r="86" spans="2:25" x14ac:dyDescent="0.3"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4" t="s">
        <v>51</v>
      </c>
    </row>
    <row r="87" spans="2:25" x14ac:dyDescent="0.3">
      <c r="B87" s="35" t="s">
        <v>119</v>
      </c>
      <c r="C87" s="33"/>
      <c r="D87" s="35" t="s">
        <v>14</v>
      </c>
      <c r="E87" s="35"/>
      <c r="F87" s="33"/>
      <c r="G87" s="33"/>
      <c r="H87" s="33"/>
      <c r="I87" s="33"/>
      <c r="J87" s="36">
        <f>J69</f>
        <v>369.875</v>
      </c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6">
        <f>X69</f>
        <v>140.68906250000001</v>
      </c>
      <c r="Y87" s="36">
        <f>J87+X87</f>
        <v>510.56406249999998</v>
      </c>
    </row>
    <row r="88" spans="2:25" x14ac:dyDescent="0.3">
      <c r="B88" s="33"/>
      <c r="C88" s="33"/>
      <c r="D88" s="35" t="s">
        <v>67</v>
      </c>
      <c r="E88" s="35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6">
        <f>P69+R69</f>
        <v>8718</v>
      </c>
      <c r="Q88" s="33"/>
      <c r="R88" s="33"/>
      <c r="S88" s="33"/>
      <c r="T88" s="33"/>
      <c r="U88" s="33"/>
      <c r="V88" s="33"/>
      <c r="W88" s="33"/>
      <c r="X88" s="33"/>
      <c r="Y88" s="36">
        <f>P88</f>
        <v>8718</v>
      </c>
    </row>
    <row r="89" spans="2:25" x14ac:dyDescent="0.3">
      <c r="B89" s="33"/>
      <c r="C89" s="33"/>
      <c r="D89" s="35" t="s">
        <v>68</v>
      </c>
      <c r="E89" s="35"/>
      <c r="F89" s="37">
        <v>30</v>
      </c>
      <c r="G89" s="33"/>
      <c r="H89" s="33"/>
      <c r="I89" s="33"/>
      <c r="J89" s="33"/>
      <c r="K89" s="33"/>
      <c r="L89" s="33"/>
      <c r="M89" s="33"/>
      <c r="N89" s="33"/>
      <c r="O89" s="33"/>
      <c r="P89" s="38">
        <f>$P$88/F89</f>
        <v>290.60000000000002</v>
      </c>
      <c r="Q89" s="33"/>
      <c r="R89" s="33"/>
      <c r="S89" s="33"/>
      <c r="T89" s="33"/>
      <c r="U89" s="33"/>
      <c r="V89" s="33"/>
      <c r="W89" s="33"/>
      <c r="X89" s="33"/>
      <c r="Y89" s="33"/>
    </row>
    <row r="90" spans="2:25" x14ac:dyDescent="0.3">
      <c r="B90" s="33"/>
      <c r="C90" s="33"/>
      <c r="D90" s="33"/>
      <c r="E90" s="33"/>
      <c r="F90" s="37">
        <v>100</v>
      </c>
      <c r="G90" s="33"/>
      <c r="H90" s="33"/>
      <c r="I90" s="33"/>
      <c r="J90" s="33"/>
      <c r="K90" s="33"/>
      <c r="L90" s="33"/>
      <c r="M90" s="33"/>
      <c r="N90" s="33"/>
      <c r="O90" s="33"/>
      <c r="P90" s="38">
        <f t="shared" ref="P90:P91" si="5">$P$88/F90</f>
        <v>87.18</v>
      </c>
      <c r="Q90" s="33"/>
      <c r="R90" s="33"/>
      <c r="S90" s="33"/>
      <c r="T90" s="33"/>
      <c r="U90" s="33"/>
      <c r="V90" s="33"/>
      <c r="W90" s="33"/>
      <c r="X90" s="33"/>
      <c r="Y90" s="33"/>
    </row>
    <row r="91" spans="2:25" x14ac:dyDescent="0.3">
      <c r="B91" s="33"/>
      <c r="C91" s="33"/>
      <c r="D91" s="33"/>
      <c r="E91" s="33"/>
      <c r="F91" s="37">
        <v>1000</v>
      </c>
      <c r="G91" s="33"/>
      <c r="H91" s="33"/>
      <c r="I91" s="33"/>
      <c r="J91" s="33"/>
      <c r="K91" s="33"/>
      <c r="L91" s="33"/>
      <c r="M91" s="33"/>
      <c r="N91" s="33"/>
      <c r="O91" s="33"/>
      <c r="P91" s="38">
        <f t="shared" si="5"/>
        <v>8.718</v>
      </c>
      <c r="Q91" s="33"/>
      <c r="R91" s="33"/>
      <c r="S91" s="33"/>
      <c r="T91" s="33"/>
      <c r="U91" s="33"/>
      <c r="V91" s="33"/>
      <c r="W91" s="33"/>
      <c r="X91" s="33"/>
      <c r="Y91" s="33"/>
    </row>
    <row r="92" spans="2:25" x14ac:dyDescent="0.3"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</row>
    <row r="93" spans="2:25" x14ac:dyDescent="0.3">
      <c r="B93" s="33"/>
      <c r="C93" s="33"/>
      <c r="D93" s="33" t="s">
        <v>69</v>
      </c>
      <c r="E93" s="33"/>
      <c r="F93" s="36">
        <f>J87+X87+P91</f>
        <v>519.28206249999994</v>
      </c>
      <c r="G93" s="33"/>
      <c r="H93" s="33" t="s">
        <v>70</v>
      </c>
      <c r="I93" s="33"/>
      <c r="J93" s="39">
        <f>J87+X87+P90</f>
        <v>597.74406249999993</v>
      </c>
      <c r="K93" s="33"/>
      <c r="L93" s="33" t="s">
        <v>136</v>
      </c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</row>
    <row r="94" spans="2:25" x14ac:dyDescent="0.3"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</row>
    <row r="95" spans="2:25" x14ac:dyDescent="0.3">
      <c r="B95" s="33" t="s">
        <v>121</v>
      </c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</row>
    <row r="97" spans="2:25" x14ac:dyDescent="0.3"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75" t="s">
        <v>51</v>
      </c>
    </row>
    <row r="98" spans="2:25" x14ac:dyDescent="0.3">
      <c r="B98" s="53" t="s">
        <v>74</v>
      </c>
      <c r="C98" s="64"/>
      <c r="D98" s="53" t="s">
        <v>14</v>
      </c>
      <c r="E98" s="53"/>
      <c r="F98" s="64"/>
      <c r="G98" s="64"/>
      <c r="H98" s="64"/>
      <c r="I98" s="64"/>
      <c r="J98" s="76">
        <f>J70</f>
        <v>266.52499999999998</v>
      </c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76">
        <f>X70</f>
        <v>289.90998263888889</v>
      </c>
      <c r="Y98" s="76">
        <f>J98+X98</f>
        <v>556.43498263888887</v>
      </c>
    </row>
    <row r="99" spans="2:25" x14ac:dyDescent="0.3">
      <c r="B99" s="64"/>
      <c r="C99" s="64"/>
      <c r="D99" s="53" t="s">
        <v>67</v>
      </c>
      <c r="E99" s="53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76">
        <f>N70+R70</f>
        <v>8718</v>
      </c>
      <c r="Q99" s="64"/>
      <c r="R99" s="64"/>
      <c r="S99" s="64"/>
      <c r="T99" s="64"/>
      <c r="U99" s="64"/>
      <c r="V99" s="64"/>
      <c r="W99" s="64"/>
      <c r="X99" s="64"/>
      <c r="Y99" s="76">
        <f>P99</f>
        <v>8718</v>
      </c>
    </row>
    <row r="100" spans="2:25" x14ac:dyDescent="0.3">
      <c r="B100" s="64"/>
      <c r="C100" s="64"/>
      <c r="D100" s="53" t="s">
        <v>68</v>
      </c>
      <c r="E100" s="53"/>
      <c r="F100" s="77">
        <v>30</v>
      </c>
      <c r="G100" s="64"/>
      <c r="H100" s="64"/>
      <c r="I100" s="64"/>
      <c r="J100" s="64"/>
      <c r="K100" s="64"/>
      <c r="L100" s="64"/>
      <c r="M100" s="64"/>
      <c r="N100" s="64"/>
      <c r="O100" s="64"/>
      <c r="P100" s="78">
        <f>$P$99/F100</f>
        <v>290.60000000000002</v>
      </c>
      <c r="Q100" s="64"/>
      <c r="R100" s="64"/>
      <c r="S100" s="64"/>
      <c r="T100" s="64"/>
      <c r="U100" s="64"/>
      <c r="V100" s="64"/>
      <c r="W100" s="64"/>
      <c r="X100" s="64"/>
      <c r="Y100" s="64"/>
    </row>
    <row r="101" spans="2:25" x14ac:dyDescent="0.3">
      <c r="B101" s="64"/>
      <c r="C101" s="64"/>
      <c r="D101" s="64"/>
      <c r="E101" s="64"/>
      <c r="F101" s="77">
        <v>100</v>
      </c>
      <c r="G101" s="64"/>
      <c r="H101" s="64"/>
      <c r="I101" s="64"/>
      <c r="J101" s="64"/>
      <c r="K101" s="64"/>
      <c r="L101" s="64"/>
      <c r="M101" s="64"/>
      <c r="N101" s="64"/>
      <c r="O101" s="64"/>
      <c r="P101" s="78">
        <f>$P$99/F101</f>
        <v>87.18</v>
      </c>
      <c r="Q101" s="64"/>
      <c r="R101" s="64"/>
      <c r="S101" s="64"/>
      <c r="T101" s="64"/>
      <c r="U101" s="64"/>
      <c r="V101" s="64"/>
      <c r="W101" s="64"/>
      <c r="X101" s="64"/>
      <c r="Y101" s="64"/>
    </row>
    <row r="102" spans="2:25" x14ac:dyDescent="0.3">
      <c r="B102" s="64"/>
      <c r="C102" s="64"/>
      <c r="D102" s="64"/>
      <c r="E102" s="64"/>
      <c r="F102" s="77">
        <v>1000</v>
      </c>
      <c r="G102" s="64"/>
      <c r="H102" s="64"/>
      <c r="I102" s="64"/>
      <c r="J102" s="64"/>
      <c r="K102" s="64"/>
      <c r="L102" s="64"/>
      <c r="M102" s="64"/>
      <c r="N102" s="64"/>
      <c r="O102" s="64"/>
      <c r="P102" s="78">
        <f>$P$99/F102</f>
        <v>8.718</v>
      </c>
      <c r="Q102" s="64"/>
      <c r="R102" s="64"/>
      <c r="S102" s="64"/>
      <c r="T102" s="64"/>
      <c r="U102" s="64"/>
      <c r="V102" s="64"/>
      <c r="W102" s="64"/>
      <c r="X102" s="64"/>
      <c r="Y102" s="64"/>
    </row>
    <row r="103" spans="2:25" x14ac:dyDescent="0.3"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</row>
    <row r="104" spans="2:25" x14ac:dyDescent="0.3">
      <c r="B104" s="64"/>
      <c r="C104" s="64"/>
      <c r="D104" s="64" t="s">
        <v>69</v>
      </c>
      <c r="E104" s="64"/>
      <c r="F104" s="76">
        <f>J98+X98+P102</f>
        <v>565.15298263888883</v>
      </c>
      <c r="G104" s="64"/>
      <c r="H104" s="64" t="s">
        <v>70</v>
      </c>
      <c r="I104" s="64"/>
      <c r="J104" s="79">
        <f>J98+X98+P101</f>
        <v>643.61498263888893</v>
      </c>
      <c r="K104" s="64"/>
      <c r="L104" s="64" t="s">
        <v>136</v>
      </c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</row>
    <row r="105" spans="2:25" x14ac:dyDescent="0.3"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</row>
    <row r="106" spans="2:25" x14ac:dyDescent="0.3">
      <c r="B106" s="64" t="s">
        <v>76</v>
      </c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</row>
    <row r="108" spans="2:25" x14ac:dyDescent="0.3"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75" t="s">
        <v>51</v>
      </c>
    </row>
    <row r="109" spans="2:25" x14ac:dyDescent="0.3">
      <c r="B109" s="53" t="s">
        <v>127</v>
      </c>
      <c r="C109" s="64"/>
      <c r="D109" s="53" t="s">
        <v>14</v>
      </c>
      <c r="E109" s="53"/>
      <c r="F109" s="64"/>
      <c r="G109" s="64"/>
      <c r="H109" s="64"/>
      <c r="I109" s="64"/>
      <c r="J109" s="76">
        <f>J71</f>
        <v>241.45</v>
      </c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76">
        <f>X71</f>
        <v>140.68906250000001</v>
      </c>
      <c r="Y109" s="76">
        <f>J109+X109</f>
        <v>382.13906250000002</v>
      </c>
    </row>
    <row r="110" spans="2:25" x14ac:dyDescent="0.3">
      <c r="B110" s="64"/>
      <c r="C110" s="64"/>
      <c r="D110" s="53" t="s">
        <v>67</v>
      </c>
      <c r="E110" s="53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76">
        <f>N71+R71</f>
        <v>8718</v>
      </c>
      <c r="Q110" s="64"/>
      <c r="R110" s="64"/>
      <c r="S110" s="64"/>
      <c r="T110" s="64"/>
      <c r="U110" s="64"/>
      <c r="V110" s="64"/>
      <c r="W110" s="64"/>
      <c r="X110" s="64"/>
      <c r="Y110" s="76">
        <f>P110</f>
        <v>8718</v>
      </c>
    </row>
    <row r="111" spans="2:25" x14ac:dyDescent="0.3">
      <c r="B111" s="64"/>
      <c r="C111" s="64"/>
      <c r="D111" s="53" t="s">
        <v>68</v>
      </c>
      <c r="E111" s="53"/>
      <c r="F111" s="77">
        <v>30</v>
      </c>
      <c r="G111" s="64"/>
      <c r="H111" s="64"/>
      <c r="I111" s="64"/>
      <c r="J111" s="64"/>
      <c r="K111" s="64"/>
      <c r="L111" s="64"/>
      <c r="M111" s="64"/>
      <c r="N111" s="64"/>
      <c r="O111" s="64"/>
      <c r="P111" s="78">
        <f>$P$110/F111</f>
        <v>290.60000000000002</v>
      </c>
      <c r="Q111" s="64"/>
      <c r="R111" s="64"/>
      <c r="S111" s="64"/>
      <c r="T111" s="64"/>
      <c r="U111" s="64"/>
      <c r="V111" s="64"/>
      <c r="W111" s="64"/>
      <c r="X111" s="64"/>
      <c r="Y111" s="64"/>
    </row>
    <row r="112" spans="2:25" x14ac:dyDescent="0.3">
      <c r="B112" s="64"/>
      <c r="C112" s="64"/>
      <c r="D112" s="64"/>
      <c r="E112" s="64"/>
      <c r="F112" s="77">
        <v>100</v>
      </c>
      <c r="G112" s="64"/>
      <c r="H112" s="64"/>
      <c r="I112" s="64"/>
      <c r="J112" s="64"/>
      <c r="K112" s="64"/>
      <c r="L112" s="64"/>
      <c r="M112" s="64"/>
      <c r="N112" s="64"/>
      <c r="O112" s="64"/>
      <c r="P112" s="78">
        <f t="shared" ref="P112:P113" si="6">$P$110/F112</f>
        <v>87.18</v>
      </c>
      <c r="Q112" s="64"/>
      <c r="R112" s="64"/>
      <c r="S112" s="64"/>
      <c r="T112" s="64"/>
      <c r="U112" s="64"/>
      <c r="V112" s="64"/>
      <c r="W112" s="64"/>
      <c r="X112" s="64"/>
      <c r="Y112" s="64"/>
    </row>
    <row r="113" spans="2:25" x14ac:dyDescent="0.3">
      <c r="B113" s="64"/>
      <c r="C113" s="64"/>
      <c r="D113" s="64"/>
      <c r="E113" s="64"/>
      <c r="F113" s="77">
        <v>1000</v>
      </c>
      <c r="G113" s="64"/>
      <c r="H113" s="64"/>
      <c r="I113" s="64"/>
      <c r="J113" s="64"/>
      <c r="K113" s="64"/>
      <c r="L113" s="64"/>
      <c r="M113" s="64"/>
      <c r="N113" s="64"/>
      <c r="O113" s="64"/>
      <c r="P113" s="78">
        <f t="shared" si="6"/>
        <v>8.718</v>
      </c>
      <c r="Q113" s="64"/>
      <c r="R113" s="64"/>
      <c r="S113" s="64"/>
      <c r="T113" s="64"/>
      <c r="U113" s="64"/>
      <c r="V113" s="64"/>
      <c r="W113" s="64"/>
      <c r="X113" s="64"/>
      <c r="Y113" s="64"/>
    </row>
    <row r="114" spans="2:25" x14ac:dyDescent="0.3"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</row>
    <row r="115" spans="2:25" x14ac:dyDescent="0.3">
      <c r="B115" s="64"/>
      <c r="C115" s="64"/>
      <c r="D115" s="64" t="s">
        <v>69</v>
      </c>
      <c r="E115" s="64"/>
      <c r="F115" s="76">
        <f>J109+X109+P113</f>
        <v>390.85706250000004</v>
      </c>
      <c r="G115" s="64"/>
      <c r="H115" s="64" t="s">
        <v>70</v>
      </c>
      <c r="I115" s="64"/>
      <c r="J115" s="79">
        <f>J109+X109+P112</f>
        <v>469.31906250000003</v>
      </c>
      <c r="K115" s="64"/>
      <c r="L115" s="64" t="s">
        <v>136</v>
      </c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</row>
    <row r="116" spans="2:25" x14ac:dyDescent="0.3"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</row>
    <row r="117" spans="2:25" x14ac:dyDescent="0.3">
      <c r="B117" s="64" t="s">
        <v>128</v>
      </c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</row>
    <row r="118" spans="2:25" s="26" customFormat="1" x14ac:dyDescent="0.3"/>
    <row r="119" spans="2:25" x14ac:dyDescent="0.3"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1" t="s">
        <v>51</v>
      </c>
    </row>
    <row r="120" spans="2:25" x14ac:dyDescent="0.3">
      <c r="B120" s="82" t="s">
        <v>80</v>
      </c>
      <c r="C120" s="80"/>
      <c r="D120" s="82" t="s">
        <v>14</v>
      </c>
      <c r="E120" s="82"/>
      <c r="F120" s="80"/>
      <c r="G120" s="80"/>
      <c r="H120" s="80"/>
      <c r="I120" s="80"/>
      <c r="J120" s="83">
        <f>J72</f>
        <v>141.05000000000001</v>
      </c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3">
        <f>X72</f>
        <v>49.121679687499999</v>
      </c>
      <c r="Y120" s="83">
        <f>J120+X120</f>
        <v>190.17167968750002</v>
      </c>
    </row>
    <row r="121" spans="2:25" x14ac:dyDescent="0.3">
      <c r="B121" s="80"/>
      <c r="C121" s="80"/>
      <c r="D121" s="82" t="s">
        <v>67</v>
      </c>
      <c r="E121" s="82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3">
        <f>P72+T72</f>
        <v>4718</v>
      </c>
      <c r="Q121" s="80"/>
      <c r="R121" s="80"/>
      <c r="S121" s="80"/>
      <c r="T121" s="80"/>
      <c r="U121" s="80"/>
      <c r="V121" s="80"/>
      <c r="W121" s="80"/>
      <c r="X121" s="80"/>
      <c r="Y121" s="83">
        <f>P121</f>
        <v>4718</v>
      </c>
    </row>
    <row r="122" spans="2:25" x14ac:dyDescent="0.3">
      <c r="B122" s="80"/>
      <c r="C122" s="80"/>
      <c r="D122" s="82" t="s">
        <v>68</v>
      </c>
      <c r="E122" s="82"/>
      <c r="F122" s="84">
        <v>30</v>
      </c>
      <c r="G122" s="80"/>
      <c r="H122" s="80"/>
      <c r="I122" s="80"/>
      <c r="J122" s="80"/>
      <c r="K122" s="80"/>
      <c r="L122" s="80"/>
      <c r="M122" s="80"/>
      <c r="N122" s="80"/>
      <c r="O122" s="80"/>
      <c r="P122" s="85">
        <f>$P$121/F122</f>
        <v>157.26666666666668</v>
      </c>
      <c r="Q122" s="80"/>
      <c r="R122" s="80"/>
      <c r="S122" s="80"/>
      <c r="T122" s="80"/>
      <c r="U122" s="80"/>
      <c r="V122" s="80"/>
      <c r="W122" s="80"/>
      <c r="X122" s="80"/>
      <c r="Y122" s="80"/>
    </row>
    <row r="123" spans="2:25" x14ac:dyDescent="0.3">
      <c r="B123" s="80"/>
      <c r="C123" s="80"/>
      <c r="D123" s="80"/>
      <c r="E123" s="80"/>
      <c r="F123" s="84">
        <v>100</v>
      </c>
      <c r="G123" s="80"/>
      <c r="H123" s="80"/>
      <c r="I123" s="80"/>
      <c r="J123" s="80"/>
      <c r="K123" s="80"/>
      <c r="L123" s="80"/>
      <c r="M123" s="80"/>
      <c r="N123" s="80"/>
      <c r="O123" s="80"/>
      <c r="P123" s="85">
        <f t="shared" ref="P123:P124" si="7">$P$121/F123</f>
        <v>47.18</v>
      </c>
      <c r="Q123" s="80"/>
      <c r="R123" s="80"/>
      <c r="S123" s="80"/>
      <c r="T123" s="80"/>
      <c r="U123" s="80"/>
      <c r="V123" s="80"/>
      <c r="W123" s="80"/>
      <c r="X123" s="80"/>
      <c r="Y123" s="80"/>
    </row>
    <row r="124" spans="2:25" x14ac:dyDescent="0.3">
      <c r="B124" s="80"/>
      <c r="C124" s="80"/>
      <c r="D124" s="80"/>
      <c r="E124" s="80"/>
      <c r="F124" s="84">
        <v>1000</v>
      </c>
      <c r="G124" s="80"/>
      <c r="H124" s="80"/>
      <c r="I124" s="80"/>
      <c r="J124" s="80"/>
      <c r="K124" s="80"/>
      <c r="L124" s="80"/>
      <c r="M124" s="80"/>
      <c r="N124" s="80"/>
      <c r="O124" s="80"/>
      <c r="P124" s="85">
        <f t="shared" si="7"/>
        <v>4.718</v>
      </c>
      <c r="Q124" s="80"/>
      <c r="R124" s="80"/>
      <c r="S124" s="80"/>
      <c r="T124" s="80"/>
      <c r="U124" s="80"/>
      <c r="V124" s="80"/>
      <c r="W124" s="80"/>
      <c r="X124" s="80"/>
      <c r="Y124" s="80"/>
    </row>
    <row r="125" spans="2:25" x14ac:dyDescent="0.3"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</row>
    <row r="126" spans="2:25" x14ac:dyDescent="0.3">
      <c r="B126" s="80"/>
      <c r="C126" s="80"/>
      <c r="D126" s="80" t="s">
        <v>69</v>
      </c>
      <c r="E126" s="80"/>
      <c r="F126" s="83">
        <f>J120+X120+P124</f>
        <v>194.88967968750001</v>
      </c>
      <c r="G126" s="80"/>
      <c r="H126" s="80" t="s">
        <v>70</v>
      </c>
      <c r="I126" s="80"/>
      <c r="J126" s="86">
        <f>J120+X120+P123</f>
        <v>237.35167968750002</v>
      </c>
      <c r="K126" s="80"/>
      <c r="L126" s="80" t="s">
        <v>136</v>
      </c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</row>
    <row r="127" spans="2:25" x14ac:dyDescent="0.3"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</row>
    <row r="128" spans="2:25" x14ac:dyDescent="0.3">
      <c r="B128" s="80" t="s">
        <v>114</v>
      </c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</row>
    <row r="130" spans="2:25" x14ac:dyDescent="0.3"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1" t="s">
        <v>51</v>
      </c>
    </row>
    <row r="131" spans="2:25" x14ac:dyDescent="0.3">
      <c r="B131" s="82" t="s">
        <v>115</v>
      </c>
      <c r="C131" s="80"/>
      <c r="D131" s="82" t="s">
        <v>14</v>
      </c>
      <c r="E131" s="82"/>
      <c r="F131" s="80"/>
      <c r="G131" s="80"/>
      <c r="H131" s="80"/>
      <c r="I131" s="80"/>
      <c r="J131" s="83">
        <f>J73</f>
        <v>358.32499999999999</v>
      </c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3">
        <f>X73</f>
        <v>49.121679687499999</v>
      </c>
      <c r="Y131" s="83">
        <f>J131+X131</f>
        <v>407.44667968749997</v>
      </c>
    </row>
    <row r="132" spans="2:25" x14ac:dyDescent="0.3">
      <c r="B132" s="80"/>
      <c r="C132" s="80"/>
      <c r="D132" s="82" t="s">
        <v>67</v>
      </c>
      <c r="E132" s="82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3">
        <f>N73+R73</f>
        <v>4718</v>
      </c>
      <c r="Q132" s="80"/>
      <c r="R132" s="80"/>
      <c r="S132" s="80"/>
      <c r="T132" s="80"/>
      <c r="U132" s="80"/>
      <c r="V132" s="80"/>
      <c r="W132" s="80"/>
      <c r="X132" s="80"/>
      <c r="Y132" s="83">
        <f>P132</f>
        <v>4718</v>
      </c>
    </row>
    <row r="133" spans="2:25" x14ac:dyDescent="0.3">
      <c r="B133" s="80"/>
      <c r="C133" s="80"/>
      <c r="D133" s="82" t="s">
        <v>68</v>
      </c>
      <c r="E133" s="82"/>
      <c r="F133" s="84">
        <v>30</v>
      </c>
      <c r="G133" s="80"/>
      <c r="H133" s="80"/>
      <c r="I133" s="80"/>
      <c r="J133" s="80"/>
      <c r="K133" s="80"/>
      <c r="L133" s="80"/>
      <c r="M133" s="80"/>
      <c r="N133" s="80"/>
      <c r="O133" s="80"/>
      <c r="P133" s="85">
        <f>$P$132/F133</f>
        <v>157.26666666666668</v>
      </c>
      <c r="Q133" s="80"/>
      <c r="R133" s="80"/>
      <c r="S133" s="80"/>
      <c r="T133" s="80"/>
      <c r="U133" s="80"/>
      <c r="V133" s="80"/>
      <c r="W133" s="80"/>
      <c r="X133" s="80"/>
      <c r="Y133" s="80"/>
    </row>
    <row r="134" spans="2:25" x14ac:dyDescent="0.3">
      <c r="B134" s="80"/>
      <c r="C134" s="80"/>
      <c r="D134" s="80"/>
      <c r="E134" s="80"/>
      <c r="F134" s="84">
        <v>100</v>
      </c>
      <c r="G134" s="80"/>
      <c r="H134" s="80"/>
      <c r="I134" s="80"/>
      <c r="J134" s="80"/>
      <c r="K134" s="80"/>
      <c r="L134" s="80"/>
      <c r="M134" s="80"/>
      <c r="N134" s="80"/>
      <c r="O134" s="80"/>
      <c r="P134" s="85">
        <f t="shared" ref="P134:P135" si="8">$P$132/F134</f>
        <v>47.18</v>
      </c>
      <c r="Q134" s="80"/>
      <c r="R134" s="80"/>
      <c r="S134" s="80"/>
      <c r="T134" s="80"/>
      <c r="U134" s="80"/>
      <c r="V134" s="80"/>
      <c r="W134" s="80"/>
      <c r="X134" s="80"/>
      <c r="Y134" s="80"/>
    </row>
    <row r="135" spans="2:25" x14ac:dyDescent="0.3">
      <c r="B135" s="80"/>
      <c r="C135" s="80"/>
      <c r="D135" s="80"/>
      <c r="E135" s="80"/>
      <c r="F135" s="84">
        <v>1000</v>
      </c>
      <c r="G135" s="80"/>
      <c r="H135" s="80"/>
      <c r="I135" s="80"/>
      <c r="J135" s="80"/>
      <c r="K135" s="80"/>
      <c r="L135" s="80"/>
      <c r="M135" s="80"/>
      <c r="N135" s="80"/>
      <c r="O135" s="80"/>
      <c r="P135" s="85">
        <f t="shared" si="8"/>
        <v>4.718</v>
      </c>
      <c r="Q135" s="80"/>
      <c r="R135" s="80"/>
      <c r="S135" s="80"/>
      <c r="T135" s="80"/>
      <c r="U135" s="80"/>
      <c r="V135" s="80"/>
      <c r="W135" s="80"/>
      <c r="X135" s="80"/>
      <c r="Y135" s="80"/>
    </row>
    <row r="136" spans="2:25" x14ac:dyDescent="0.3"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</row>
    <row r="137" spans="2:25" x14ac:dyDescent="0.3">
      <c r="B137" s="80"/>
      <c r="C137" s="80"/>
      <c r="D137" s="80" t="s">
        <v>69</v>
      </c>
      <c r="E137" s="80"/>
      <c r="F137" s="83">
        <f>J131+X131+P135</f>
        <v>412.16467968749998</v>
      </c>
      <c r="G137" s="80"/>
      <c r="H137" s="80" t="s">
        <v>70</v>
      </c>
      <c r="I137" s="80"/>
      <c r="J137" s="86">
        <f>J131+X131+P134</f>
        <v>454.62667968749997</v>
      </c>
      <c r="K137" s="80"/>
      <c r="L137" s="80" t="s">
        <v>136</v>
      </c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</row>
    <row r="138" spans="2:25" x14ac:dyDescent="0.3"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</row>
    <row r="139" spans="2:25" x14ac:dyDescent="0.3">
      <c r="B139" s="80" t="s">
        <v>116</v>
      </c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</row>
  </sheetData>
  <mergeCells count="28">
    <mergeCell ref="W10:X10"/>
    <mergeCell ref="F11:I11"/>
    <mergeCell ref="J11:M11"/>
    <mergeCell ref="N11:Q11"/>
    <mergeCell ref="S11:U11"/>
    <mergeCell ref="F36:I36"/>
    <mergeCell ref="J36:M36"/>
    <mergeCell ref="N36:Q36"/>
    <mergeCell ref="S36:U36"/>
    <mergeCell ref="F9:M9"/>
    <mergeCell ref="F10:I10"/>
    <mergeCell ref="J10:M10"/>
    <mergeCell ref="N9:U9"/>
    <mergeCell ref="N34:U34"/>
    <mergeCell ref="Y11:AD11"/>
    <mergeCell ref="F34:M34"/>
    <mergeCell ref="F35:I35"/>
    <mergeCell ref="J35:M35"/>
    <mergeCell ref="W35:X35"/>
    <mergeCell ref="F55:M55"/>
    <mergeCell ref="F56:I56"/>
    <mergeCell ref="J56:M56"/>
    <mergeCell ref="W56:X56"/>
    <mergeCell ref="F57:I57"/>
    <mergeCell ref="J57:M57"/>
    <mergeCell ref="N57:Q57"/>
    <mergeCell ref="S57:U57"/>
    <mergeCell ref="N55:U5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6E820-6C70-474C-80C7-5DE67DD56F80}">
  <dimension ref="A1:AD139"/>
  <sheetViews>
    <sheetView topLeftCell="A7" workbookViewId="0">
      <selection activeCell="W27" sqref="W27"/>
    </sheetView>
  </sheetViews>
  <sheetFormatPr baseColWidth="10" defaultRowHeight="14.4" x14ac:dyDescent="0.3"/>
  <cols>
    <col min="1" max="1" width="3.5546875" customWidth="1"/>
    <col min="6" max="6" width="7" customWidth="1"/>
    <col min="7" max="7" width="3.5546875" customWidth="1"/>
    <col min="8" max="8" width="5.44140625" customWidth="1"/>
    <col min="9" max="9" width="3.44140625" customWidth="1"/>
    <col min="10" max="10" width="7.44140625" customWidth="1"/>
    <col min="11" max="11" width="3.44140625" customWidth="1"/>
    <col min="12" max="12" width="7.5546875" customWidth="1"/>
    <col min="13" max="13" width="3.5546875" customWidth="1"/>
    <col min="14" max="14" width="7.44140625" customWidth="1"/>
    <col min="15" max="15" width="3.5546875" customWidth="1"/>
    <col min="16" max="16" width="9" customWidth="1"/>
    <col min="17" max="17" width="2.88671875" customWidth="1"/>
    <col min="18" max="18" width="7.44140625" customWidth="1"/>
    <col min="19" max="19" width="3.33203125" customWidth="1"/>
    <col min="20" max="20" width="8.44140625" customWidth="1"/>
    <col min="21" max="22" width="2.5546875" customWidth="1"/>
    <col min="23" max="23" width="11.88671875" customWidth="1"/>
    <col min="24" max="24" width="10" customWidth="1"/>
  </cols>
  <sheetData>
    <row r="1" spans="1:30" ht="18" x14ac:dyDescent="0.35">
      <c r="A1" s="16" t="s">
        <v>65</v>
      </c>
    </row>
    <row r="2" spans="1:30" ht="18" x14ac:dyDescent="0.35">
      <c r="A2" s="16"/>
    </row>
    <row r="3" spans="1:30" x14ac:dyDescent="0.3">
      <c r="A3" s="2" t="s">
        <v>0</v>
      </c>
      <c r="M3" t="s">
        <v>81</v>
      </c>
    </row>
    <row r="4" spans="1:30" x14ac:dyDescent="0.3">
      <c r="B4" t="s">
        <v>1</v>
      </c>
      <c r="H4" s="1">
        <v>12</v>
      </c>
      <c r="I4" s="1"/>
      <c r="J4" s="1"/>
      <c r="K4" s="1"/>
      <c r="L4" s="1"/>
      <c r="M4" t="s">
        <v>2</v>
      </c>
    </row>
    <row r="5" spans="1:30" ht="15" customHeight="1" x14ac:dyDescent="0.3">
      <c r="B5" t="s">
        <v>3</v>
      </c>
      <c r="H5" s="1">
        <v>10</v>
      </c>
      <c r="I5" s="1"/>
      <c r="J5" s="1"/>
      <c r="K5" s="1"/>
      <c r="L5" s="1"/>
      <c r="M5" t="s">
        <v>4</v>
      </c>
    </row>
    <row r="6" spans="1:30" ht="15" customHeight="1" x14ac:dyDescent="0.3">
      <c r="B6" s="22" t="s">
        <v>73</v>
      </c>
      <c r="C6" s="22"/>
      <c r="D6" s="22"/>
      <c r="E6" s="22"/>
      <c r="F6" s="22"/>
      <c r="G6" s="22"/>
      <c r="H6" s="23">
        <v>0.9</v>
      </c>
      <c r="I6" s="1"/>
      <c r="J6" s="1"/>
      <c r="K6" s="1"/>
      <c r="L6" s="1"/>
    </row>
    <row r="7" spans="1:30" x14ac:dyDescent="0.3">
      <c r="B7" s="22" t="s">
        <v>72</v>
      </c>
      <c r="C7" s="22"/>
      <c r="D7" s="22"/>
      <c r="E7" s="22"/>
      <c r="F7" s="22"/>
      <c r="G7" s="22"/>
      <c r="H7" s="23">
        <v>0.1</v>
      </c>
      <c r="I7" s="1"/>
      <c r="J7" s="1"/>
      <c r="K7" s="1"/>
      <c r="L7" s="1"/>
    </row>
    <row r="9" spans="1:30" x14ac:dyDescent="0.3">
      <c r="A9" s="2" t="s">
        <v>5</v>
      </c>
      <c r="F9" s="100" t="s">
        <v>14</v>
      </c>
      <c r="G9" s="100"/>
      <c r="H9" s="100"/>
      <c r="I9" s="100"/>
      <c r="J9" s="100"/>
      <c r="K9" s="100"/>
      <c r="L9" s="100"/>
      <c r="M9" s="100"/>
      <c r="N9" s="104" t="s">
        <v>16</v>
      </c>
      <c r="O9" s="104"/>
      <c r="P9" s="104"/>
      <c r="Q9" s="104"/>
      <c r="R9" s="104"/>
      <c r="S9" s="104"/>
      <c r="T9" s="104"/>
      <c r="U9" s="104"/>
    </row>
    <row r="10" spans="1:30" x14ac:dyDescent="0.3">
      <c r="B10" s="3"/>
      <c r="C10" s="3"/>
      <c r="D10" s="3"/>
      <c r="E10" s="3"/>
      <c r="F10" s="101" t="s">
        <v>6</v>
      </c>
      <c r="G10" s="101"/>
      <c r="H10" s="101"/>
      <c r="I10" s="101"/>
      <c r="J10" s="101" t="s">
        <v>11</v>
      </c>
      <c r="K10" s="101"/>
      <c r="L10" s="101"/>
      <c r="M10" s="101"/>
      <c r="N10" s="20"/>
      <c r="O10" s="20"/>
      <c r="P10" s="20"/>
      <c r="Q10" s="3"/>
      <c r="R10" s="3"/>
      <c r="S10" s="3"/>
      <c r="T10" s="3"/>
      <c r="U10" s="3"/>
      <c r="V10" s="3"/>
      <c r="W10" s="101" t="s">
        <v>63</v>
      </c>
      <c r="X10" s="101"/>
    </row>
    <row r="11" spans="1:30" x14ac:dyDescent="0.3">
      <c r="B11" s="4" t="s">
        <v>7</v>
      </c>
      <c r="C11" s="4"/>
      <c r="D11" s="4"/>
      <c r="E11" s="4"/>
      <c r="F11" s="102" t="s">
        <v>10</v>
      </c>
      <c r="G11" s="102"/>
      <c r="H11" s="102"/>
      <c r="I11" s="102"/>
      <c r="J11" s="102" t="s">
        <v>9</v>
      </c>
      <c r="K11" s="102"/>
      <c r="L11" s="102"/>
      <c r="M11" s="102"/>
      <c r="N11" s="102" t="s">
        <v>12</v>
      </c>
      <c r="O11" s="102"/>
      <c r="P11" s="102"/>
      <c r="Q11" s="102"/>
      <c r="R11" s="21"/>
      <c r="S11" s="103" t="s">
        <v>13</v>
      </c>
      <c r="T11" s="103"/>
      <c r="U11" s="103"/>
      <c r="V11" s="4"/>
      <c r="W11" s="21" t="s">
        <v>15</v>
      </c>
      <c r="X11" s="21" t="s">
        <v>64</v>
      </c>
      <c r="Y11" s="102" t="s">
        <v>17</v>
      </c>
      <c r="Z11" s="102"/>
      <c r="AA11" s="102"/>
      <c r="AB11" s="102"/>
      <c r="AC11" s="102"/>
      <c r="AD11" s="102"/>
    </row>
    <row r="12" spans="1:30" x14ac:dyDescent="0.3">
      <c r="F12" s="1" t="s">
        <v>86</v>
      </c>
      <c r="G12" s="1" t="s">
        <v>87</v>
      </c>
      <c r="H12" s="1" t="s">
        <v>88</v>
      </c>
      <c r="I12" s="1"/>
      <c r="J12" s="1" t="s">
        <v>86</v>
      </c>
      <c r="K12" s="1" t="s">
        <v>87</v>
      </c>
      <c r="L12" s="1" t="s">
        <v>88</v>
      </c>
      <c r="M12" s="1"/>
      <c r="N12" s="1" t="s">
        <v>86</v>
      </c>
      <c r="O12" s="1" t="s">
        <v>87</v>
      </c>
      <c r="P12" s="1" t="s">
        <v>88</v>
      </c>
      <c r="Q12" s="1"/>
      <c r="R12" s="1" t="s">
        <v>86</v>
      </c>
      <c r="S12" s="1" t="s">
        <v>87</v>
      </c>
      <c r="T12" s="1" t="s">
        <v>88</v>
      </c>
      <c r="U12" s="1"/>
    </row>
    <row r="13" spans="1:30" x14ac:dyDescent="0.3">
      <c r="B13" t="s">
        <v>29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W13" s="71">
        <f>100/60</f>
        <v>1.6666666666666667</v>
      </c>
      <c r="X13" s="5">
        <f>W13*'Staff Expenses'!$I$6</f>
        <v>67.827690972222229</v>
      </c>
      <c r="Y13" t="s">
        <v>18</v>
      </c>
    </row>
    <row r="14" spans="1:30" x14ac:dyDescent="0.3">
      <c r="B14" t="s">
        <v>30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W14" s="72">
        <v>1</v>
      </c>
      <c r="X14" s="5">
        <f>W14*'Staff Expenses'!$I$6</f>
        <v>40.696614583333336</v>
      </c>
    </row>
    <row r="15" spans="1:30" x14ac:dyDescent="0.3">
      <c r="B15" t="s">
        <v>31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W15" s="72">
        <v>2</v>
      </c>
      <c r="X15" s="5">
        <f>W15*'Staff Expenses'!$I$6</f>
        <v>81.393229166666671</v>
      </c>
    </row>
    <row r="16" spans="1:30" x14ac:dyDescent="0.3">
      <c r="B16" t="s">
        <v>32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W16" s="5">
        <v>1</v>
      </c>
      <c r="X16" s="5">
        <f>W16*'Staff Expenses'!$I$6</f>
        <v>40.696614583333336</v>
      </c>
    </row>
    <row r="17" spans="2:25" x14ac:dyDescent="0.3">
      <c r="B17" t="s">
        <v>33</v>
      </c>
      <c r="F17" s="1"/>
      <c r="G17" s="1"/>
      <c r="H17" s="1"/>
      <c r="I17" s="1"/>
      <c r="J17" s="1"/>
      <c r="K17" s="1"/>
      <c r="L17" s="25"/>
      <c r="M17" s="1"/>
      <c r="N17" s="1"/>
      <c r="O17" s="1"/>
      <c r="P17" s="1"/>
      <c r="Q17" s="1"/>
      <c r="R17" s="1"/>
      <c r="S17" s="1"/>
      <c r="T17" s="1"/>
      <c r="U17" s="1"/>
      <c r="W17" s="72">
        <v>0.25</v>
      </c>
      <c r="X17" s="5">
        <f>W17*'Staff Expenses'!$I$6</f>
        <v>10.174153645833334</v>
      </c>
    </row>
    <row r="18" spans="2:25" x14ac:dyDescent="0.3">
      <c r="B18" t="s">
        <v>91</v>
      </c>
      <c r="J18" s="1">
        <v>0</v>
      </c>
      <c r="K18" s="1" t="s">
        <v>19</v>
      </c>
      <c r="L18" s="40">
        <v>10</v>
      </c>
      <c r="M18" s="40" t="s">
        <v>8</v>
      </c>
      <c r="N18" s="40">
        <v>0</v>
      </c>
      <c r="O18" s="44" t="s">
        <v>8</v>
      </c>
      <c r="P18" s="1">
        <v>3500</v>
      </c>
      <c r="Q18" s="1" t="s">
        <v>19</v>
      </c>
      <c r="R18" s="40">
        <v>0</v>
      </c>
      <c r="S18" s="44" t="s">
        <v>8</v>
      </c>
      <c r="T18" s="1">
        <v>2350</v>
      </c>
      <c r="U18" s="1" t="s">
        <v>19</v>
      </c>
      <c r="Y18" t="s">
        <v>107</v>
      </c>
    </row>
    <row r="19" spans="2:25" x14ac:dyDescent="0.3">
      <c r="J19" s="63">
        <v>7.5</v>
      </c>
      <c r="K19" s="63" t="s">
        <v>89</v>
      </c>
      <c r="L19" s="25">
        <v>20</v>
      </c>
      <c r="M19" s="27" t="s">
        <v>89</v>
      </c>
      <c r="N19" s="63">
        <v>0</v>
      </c>
      <c r="O19" s="66" t="s">
        <v>89</v>
      </c>
      <c r="P19" s="25"/>
      <c r="Q19" s="26"/>
      <c r="R19" s="63">
        <v>0</v>
      </c>
      <c r="S19" s="66" t="s">
        <v>89</v>
      </c>
      <c r="T19" s="25"/>
      <c r="U19" s="27"/>
      <c r="Y19" t="s">
        <v>90</v>
      </c>
    </row>
    <row r="20" spans="2:25" x14ac:dyDescent="0.3">
      <c r="B20" t="s">
        <v>79</v>
      </c>
      <c r="J20" s="69">
        <v>26</v>
      </c>
      <c r="K20" s="40" t="s">
        <v>77</v>
      </c>
      <c r="L20" s="40">
        <v>26</v>
      </c>
      <c r="M20" s="44" t="s">
        <v>77</v>
      </c>
      <c r="N20" s="1"/>
      <c r="O20" s="1"/>
      <c r="P20" s="1"/>
      <c r="S20" s="1"/>
      <c r="T20" s="1"/>
      <c r="U20" s="8"/>
      <c r="Y20" t="s">
        <v>78</v>
      </c>
    </row>
    <row r="21" spans="2:25" x14ac:dyDescent="0.3">
      <c r="B21" t="s">
        <v>20</v>
      </c>
      <c r="F21" s="1"/>
      <c r="G21" s="1"/>
      <c r="H21" s="1"/>
      <c r="I21" s="1"/>
      <c r="J21" s="69">
        <v>0.75</v>
      </c>
      <c r="K21" s="40" t="s">
        <v>21</v>
      </c>
      <c r="L21" s="40">
        <v>0.75</v>
      </c>
      <c r="M21" s="41" t="s">
        <v>21</v>
      </c>
      <c r="N21" s="40">
        <v>55</v>
      </c>
      <c r="O21" s="44" t="s">
        <v>21</v>
      </c>
      <c r="P21" s="1">
        <v>55</v>
      </c>
      <c r="Q21" s="8" t="s">
        <v>21</v>
      </c>
      <c r="R21" s="1"/>
      <c r="S21" s="1"/>
      <c r="T21" s="1"/>
      <c r="U21" s="1"/>
      <c r="Y21" t="s">
        <v>22</v>
      </c>
    </row>
    <row r="22" spans="2:25" x14ac:dyDescent="0.3">
      <c r="B22" t="s">
        <v>24</v>
      </c>
      <c r="F22" s="1"/>
      <c r="G22" s="1"/>
      <c r="H22" s="1"/>
      <c r="I22" s="1"/>
      <c r="J22" s="69">
        <v>1</v>
      </c>
      <c r="K22" s="40" t="s">
        <v>21</v>
      </c>
      <c r="L22" s="40">
        <v>1</v>
      </c>
      <c r="M22" s="41" t="s">
        <v>21</v>
      </c>
      <c r="N22" s="40">
        <v>275</v>
      </c>
      <c r="O22" s="44" t="s">
        <v>25</v>
      </c>
      <c r="P22" s="1">
        <v>275</v>
      </c>
      <c r="Q22" s="8" t="s">
        <v>25</v>
      </c>
      <c r="R22" s="1"/>
      <c r="S22" s="1"/>
      <c r="T22" s="1"/>
      <c r="U22" s="1"/>
      <c r="Y22" t="s">
        <v>26</v>
      </c>
    </row>
    <row r="23" spans="2:25" x14ac:dyDescent="0.3">
      <c r="B23" s="4" t="s">
        <v>23</v>
      </c>
      <c r="C23" s="4"/>
      <c r="D23" s="4"/>
      <c r="E23" s="4"/>
      <c r="F23" s="21"/>
      <c r="G23" s="21"/>
      <c r="H23" s="21"/>
      <c r="I23" s="21"/>
      <c r="J23" s="70">
        <v>0.25</v>
      </c>
      <c r="K23" s="42" t="s">
        <v>21</v>
      </c>
      <c r="L23" s="42">
        <v>0.25</v>
      </c>
      <c r="M23" s="43" t="s">
        <v>21</v>
      </c>
      <c r="N23" s="21"/>
      <c r="O23" s="21"/>
      <c r="P23" s="21"/>
      <c r="Q23" s="21"/>
      <c r="R23" s="21"/>
      <c r="S23" s="21"/>
      <c r="T23" s="21"/>
      <c r="U23" s="21"/>
      <c r="V23" s="4"/>
      <c r="W23" s="4"/>
      <c r="X23" s="4"/>
    </row>
    <row r="24" spans="2:25" x14ac:dyDescent="0.3">
      <c r="B24" s="35" t="s">
        <v>100</v>
      </c>
      <c r="C24" s="35"/>
      <c r="D24" s="35"/>
      <c r="E24" s="35"/>
      <c r="F24" s="51"/>
      <c r="G24" s="51"/>
      <c r="H24" s="51"/>
      <c r="I24" s="51"/>
      <c r="J24" s="51">
        <f>L18+J20+J21+J22+J23</f>
        <v>38</v>
      </c>
      <c r="K24" s="51"/>
      <c r="L24" s="51">
        <f>L18+L20+L21+L22+L23</f>
        <v>38</v>
      </c>
      <c r="M24" s="51"/>
      <c r="N24" s="51">
        <f>N18+N21+N22</f>
        <v>330</v>
      </c>
      <c r="O24" s="51"/>
      <c r="P24" s="51">
        <f>N24</f>
        <v>330</v>
      </c>
      <c r="Q24" s="51"/>
      <c r="R24" s="51">
        <f>R18</f>
        <v>0</v>
      </c>
      <c r="S24" s="51"/>
      <c r="T24" s="51">
        <f>R24</f>
        <v>0</v>
      </c>
      <c r="U24" s="51"/>
      <c r="V24" s="52"/>
      <c r="W24" s="51">
        <f>W13+W14+W15+W17</f>
        <v>4.916666666666667</v>
      </c>
      <c r="X24" s="51">
        <f>W24*'Staff Expenses'!$I$6</f>
        <v>200.09168836805557</v>
      </c>
    </row>
    <row r="25" spans="2:25" x14ac:dyDescent="0.3">
      <c r="B25" s="67" t="s">
        <v>104</v>
      </c>
      <c r="C25" s="33"/>
      <c r="D25" s="33"/>
      <c r="E25" s="33"/>
      <c r="F25" s="40"/>
      <c r="G25" s="40"/>
      <c r="H25" s="40"/>
      <c r="I25" s="40"/>
      <c r="J25" s="51">
        <f>J24+$H$6*J24+(J19+J21)*0.1</f>
        <v>73.025000000000006</v>
      </c>
      <c r="K25" s="91" t="s">
        <v>85</v>
      </c>
      <c r="L25" s="51">
        <f>L24+$H$6*L24+(L18+L21)*0.1</f>
        <v>73.275000000000006</v>
      </c>
      <c r="M25" s="91"/>
      <c r="N25" s="51">
        <f>N24</f>
        <v>330</v>
      </c>
      <c r="O25" s="51"/>
      <c r="P25" s="51">
        <f>P24</f>
        <v>330</v>
      </c>
      <c r="Q25" s="51"/>
      <c r="R25" s="51">
        <f>R18</f>
        <v>0</v>
      </c>
      <c r="S25" s="51"/>
      <c r="T25" s="51">
        <f>T24</f>
        <v>0</v>
      </c>
      <c r="U25" s="51"/>
      <c r="V25" s="51"/>
      <c r="W25" s="51">
        <f>(W24+W16)/0.5*0.9</f>
        <v>10.65</v>
      </c>
      <c r="X25" s="51">
        <f>W25*'Staff Expenses'!I6</f>
        <v>433.41894531250006</v>
      </c>
      <c r="Y25" t="s">
        <v>105</v>
      </c>
    </row>
    <row r="26" spans="2:25" x14ac:dyDescent="0.3">
      <c r="B26" s="67" t="s">
        <v>122</v>
      </c>
      <c r="C26" s="33"/>
      <c r="D26" s="33"/>
      <c r="E26" s="33"/>
      <c r="F26" s="40"/>
      <c r="G26" s="40"/>
      <c r="H26" s="40"/>
      <c r="I26" s="40"/>
      <c r="J26" s="51">
        <f>J20+J21+J22+J23+(+J22+J23)*H6</f>
        <v>29.125</v>
      </c>
      <c r="K26" s="91"/>
      <c r="L26" s="51">
        <f>J26</f>
        <v>29.125</v>
      </c>
      <c r="M26" s="91"/>
      <c r="N26" s="51">
        <f>N21+N22</f>
        <v>330</v>
      </c>
      <c r="O26" s="51"/>
      <c r="P26" s="51">
        <f>N26</f>
        <v>330</v>
      </c>
      <c r="Q26" s="51"/>
      <c r="R26" s="51">
        <f>R25</f>
        <v>0</v>
      </c>
      <c r="S26" s="51"/>
      <c r="T26" s="51">
        <f>T25</f>
        <v>0</v>
      </c>
      <c r="U26" s="51"/>
      <c r="V26" s="51"/>
      <c r="W26" s="51">
        <f>(W15+W17)</f>
        <v>2.25</v>
      </c>
      <c r="X26" s="51">
        <f>W26*'Staff Expenses'!I6</f>
        <v>91.5673828125</v>
      </c>
    </row>
    <row r="27" spans="2:25" x14ac:dyDescent="0.3">
      <c r="B27" s="53" t="s">
        <v>101</v>
      </c>
      <c r="C27" s="53"/>
      <c r="D27" s="53"/>
      <c r="E27" s="53"/>
      <c r="F27" s="54"/>
      <c r="G27" s="54"/>
      <c r="H27" s="54"/>
      <c r="I27" s="54"/>
      <c r="J27" s="54">
        <f>J19+J20+J21+J22+J23</f>
        <v>35.5</v>
      </c>
      <c r="K27" s="54"/>
      <c r="L27" s="54">
        <f t="shared" ref="L27" si="0">L19+L20+L21+L22+L23</f>
        <v>48</v>
      </c>
      <c r="M27" s="54"/>
      <c r="N27" s="54">
        <f>N19+N21+N22</f>
        <v>330</v>
      </c>
      <c r="O27" s="54"/>
      <c r="P27" s="54">
        <f>N27</f>
        <v>330</v>
      </c>
      <c r="Q27" s="54"/>
      <c r="R27" s="54">
        <f>R19</f>
        <v>0</v>
      </c>
      <c r="S27" s="54"/>
      <c r="T27" s="54">
        <f>R27</f>
        <v>0</v>
      </c>
      <c r="U27" s="54"/>
      <c r="V27" s="55"/>
      <c r="W27" s="54">
        <f t="shared" ref="W27:X29" si="1">W24</f>
        <v>4.916666666666667</v>
      </c>
      <c r="X27" s="54">
        <f t="shared" si="1"/>
        <v>200.09168836805557</v>
      </c>
    </row>
    <row r="28" spans="2:25" x14ac:dyDescent="0.3">
      <c r="B28" s="68" t="s">
        <v>106</v>
      </c>
      <c r="C28" s="64"/>
      <c r="D28" s="64"/>
      <c r="E28" s="64"/>
      <c r="F28" s="63"/>
      <c r="G28" s="63"/>
      <c r="H28" s="63"/>
      <c r="I28" s="63"/>
      <c r="J28" s="54">
        <f>J27+$H$6*J27+(J19+J21)*0.1</f>
        <v>68.275000000000006</v>
      </c>
      <c r="K28" s="92" t="s">
        <v>85</v>
      </c>
      <c r="L28" s="54">
        <f>L27+$H$6*L27+(L19+L21)*0.1</f>
        <v>93.275000000000006</v>
      </c>
      <c r="M28" s="92"/>
      <c r="N28" s="54">
        <f>N27</f>
        <v>330</v>
      </c>
      <c r="O28" s="54"/>
      <c r="P28" s="54">
        <f>P27</f>
        <v>330</v>
      </c>
      <c r="Q28" s="54"/>
      <c r="R28" s="54">
        <f>R19</f>
        <v>0</v>
      </c>
      <c r="S28" s="54"/>
      <c r="T28" s="54">
        <f>T27</f>
        <v>0</v>
      </c>
      <c r="U28" s="54"/>
      <c r="V28" s="54"/>
      <c r="W28" s="54">
        <f t="shared" si="1"/>
        <v>10.65</v>
      </c>
      <c r="X28" s="54">
        <f t="shared" si="1"/>
        <v>433.41894531250006</v>
      </c>
    </row>
    <row r="29" spans="2:25" x14ac:dyDescent="0.3">
      <c r="B29" s="68" t="s">
        <v>125</v>
      </c>
      <c r="C29" s="64"/>
      <c r="D29" s="64"/>
      <c r="E29" s="64"/>
      <c r="F29" s="63"/>
      <c r="G29" s="63"/>
      <c r="H29" s="63"/>
      <c r="I29" s="63"/>
      <c r="J29" s="54">
        <f>J20+J22+J21+J23+(J21+J22+J23)*H6</f>
        <v>29.8</v>
      </c>
      <c r="K29" s="92" t="s">
        <v>85</v>
      </c>
      <c r="L29" s="54">
        <f>J29</f>
        <v>29.8</v>
      </c>
      <c r="M29" s="92"/>
      <c r="N29" s="54">
        <f>N28</f>
        <v>330</v>
      </c>
      <c r="O29" s="54"/>
      <c r="P29" s="54">
        <f>P28</f>
        <v>330</v>
      </c>
      <c r="Q29" s="54"/>
      <c r="R29" s="54">
        <f>R20</f>
        <v>0</v>
      </c>
      <c r="S29" s="54"/>
      <c r="T29" s="54">
        <f>T28</f>
        <v>0</v>
      </c>
      <c r="U29" s="54"/>
      <c r="V29" s="54"/>
      <c r="W29" s="54">
        <f t="shared" si="1"/>
        <v>2.25</v>
      </c>
      <c r="X29" s="54">
        <f t="shared" si="1"/>
        <v>91.5673828125</v>
      </c>
    </row>
    <row r="30" spans="2:25" x14ac:dyDescent="0.3">
      <c r="B30" s="82" t="s">
        <v>111</v>
      </c>
      <c r="C30" s="82"/>
      <c r="D30" s="82"/>
      <c r="E30" s="82"/>
      <c r="F30" s="87"/>
      <c r="G30" s="87"/>
      <c r="H30" s="87"/>
      <c r="I30" s="87"/>
      <c r="J30" s="87">
        <f>J21+J22+J23+J20</f>
        <v>28</v>
      </c>
      <c r="K30" s="87"/>
      <c r="L30" s="87">
        <f>J30</f>
        <v>28</v>
      </c>
      <c r="M30" s="87"/>
      <c r="N30" s="87">
        <f>N21+N22</f>
        <v>330</v>
      </c>
      <c r="O30" s="87"/>
      <c r="P30" s="87">
        <f>N30</f>
        <v>330</v>
      </c>
      <c r="Q30" s="87"/>
      <c r="R30" s="87">
        <f>R21</f>
        <v>0</v>
      </c>
      <c r="S30" s="87"/>
      <c r="T30" s="87">
        <f>R30</f>
        <v>0</v>
      </c>
      <c r="U30" s="87"/>
      <c r="V30" s="88"/>
      <c r="W30" s="87">
        <v>0</v>
      </c>
      <c r="X30" s="87">
        <v>0</v>
      </c>
    </row>
    <row r="31" spans="2:25" x14ac:dyDescent="0.3">
      <c r="B31" s="89" t="s">
        <v>112</v>
      </c>
      <c r="C31" s="80"/>
      <c r="D31" s="80"/>
      <c r="E31" s="80"/>
      <c r="F31" s="90"/>
      <c r="G31" s="90"/>
      <c r="H31" s="90"/>
      <c r="I31" s="90"/>
      <c r="J31" s="87">
        <f>J30+$H$6*J30+(J21)*0.1</f>
        <v>53.275000000000006</v>
      </c>
      <c r="K31" s="93" t="s">
        <v>85</v>
      </c>
      <c r="L31" s="87">
        <f>J31</f>
        <v>53.275000000000006</v>
      </c>
      <c r="M31" s="93"/>
      <c r="N31" s="87">
        <f>N30</f>
        <v>330</v>
      </c>
      <c r="O31" s="87"/>
      <c r="P31" s="87">
        <f>P30</f>
        <v>330</v>
      </c>
      <c r="Q31" s="87"/>
      <c r="R31" s="87">
        <f>R21</f>
        <v>0</v>
      </c>
      <c r="S31" s="87"/>
      <c r="T31" s="87">
        <f>T30</f>
        <v>0</v>
      </c>
      <c r="U31" s="87"/>
      <c r="V31" s="87"/>
      <c r="W31" s="87">
        <v>0</v>
      </c>
      <c r="X31" s="87">
        <v>0</v>
      </c>
    </row>
    <row r="32" spans="2:25" s="26" customFormat="1" x14ac:dyDescent="0.3">
      <c r="B32" s="18"/>
      <c r="F32" s="25"/>
      <c r="G32" s="25"/>
      <c r="H32" s="25"/>
      <c r="I32" s="25"/>
      <c r="J32" s="94"/>
      <c r="K32" s="95"/>
      <c r="L32" s="94"/>
      <c r="M32" s="95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</row>
    <row r="33" spans="1:28" x14ac:dyDescent="0.3">
      <c r="A33" s="2" t="s">
        <v>27</v>
      </c>
      <c r="B33" s="17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8" x14ac:dyDescent="0.3">
      <c r="F34" s="100" t="s">
        <v>14</v>
      </c>
      <c r="G34" s="100"/>
      <c r="H34" s="100"/>
      <c r="I34" s="100"/>
      <c r="J34" s="100"/>
      <c r="K34" s="100"/>
      <c r="L34" s="100"/>
      <c r="M34" s="100"/>
      <c r="N34" s="104" t="s">
        <v>16</v>
      </c>
      <c r="O34" s="104"/>
      <c r="P34" s="104"/>
      <c r="Q34" s="104"/>
      <c r="R34" s="104"/>
      <c r="S34" s="104"/>
      <c r="T34" s="104"/>
      <c r="U34" s="104"/>
    </row>
    <row r="35" spans="1:28" x14ac:dyDescent="0.3">
      <c r="B35" s="3"/>
      <c r="C35" s="3"/>
      <c r="D35" s="3"/>
      <c r="E35" s="3"/>
      <c r="F35" s="101" t="s">
        <v>6</v>
      </c>
      <c r="G35" s="101"/>
      <c r="H35" s="101"/>
      <c r="I35" s="101"/>
      <c r="J35" s="101" t="s">
        <v>11</v>
      </c>
      <c r="K35" s="101"/>
      <c r="L35" s="101"/>
      <c r="M35" s="101"/>
      <c r="N35" s="20"/>
      <c r="O35" s="20"/>
      <c r="P35" s="20"/>
      <c r="Q35" s="3"/>
      <c r="R35" s="3"/>
      <c r="S35" s="3"/>
      <c r="T35" s="3"/>
      <c r="U35" s="3"/>
      <c r="V35" s="3"/>
      <c r="W35" s="101" t="s">
        <v>63</v>
      </c>
      <c r="X35" s="101"/>
    </row>
    <row r="36" spans="1:28" x14ac:dyDescent="0.3">
      <c r="B36" s="4" t="s">
        <v>7</v>
      </c>
      <c r="C36" s="4"/>
      <c r="D36" s="4"/>
      <c r="E36" s="4"/>
      <c r="F36" s="102" t="s">
        <v>10</v>
      </c>
      <c r="G36" s="102"/>
      <c r="H36" s="102"/>
      <c r="I36" s="102"/>
      <c r="J36" s="102" t="s">
        <v>9</v>
      </c>
      <c r="K36" s="102"/>
      <c r="L36" s="102"/>
      <c r="M36" s="102"/>
      <c r="N36" s="102" t="s">
        <v>12</v>
      </c>
      <c r="O36" s="102"/>
      <c r="P36" s="102"/>
      <c r="Q36" s="102"/>
      <c r="R36" s="21"/>
      <c r="S36" s="103" t="s">
        <v>13</v>
      </c>
      <c r="T36" s="103"/>
      <c r="U36" s="103"/>
      <c r="V36" s="4"/>
      <c r="W36" s="21" t="s">
        <v>15</v>
      </c>
      <c r="X36" s="21" t="s">
        <v>64</v>
      </c>
    </row>
    <row r="37" spans="1:28" x14ac:dyDescent="0.3">
      <c r="F37" s="1" t="s">
        <v>86</v>
      </c>
      <c r="G37" s="1" t="s">
        <v>87</v>
      </c>
      <c r="H37" s="1" t="s">
        <v>88</v>
      </c>
      <c r="I37" s="1"/>
      <c r="J37" s="1" t="s">
        <v>86</v>
      </c>
      <c r="K37" s="1" t="s">
        <v>87</v>
      </c>
      <c r="L37" s="1" t="s">
        <v>88</v>
      </c>
      <c r="M37" s="1"/>
      <c r="N37" s="1" t="s">
        <v>86</v>
      </c>
      <c r="O37" s="1" t="s">
        <v>87</v>
      </c>
      <c r="P37" s="1" t="s">
        <v>88</v>
      </c>
      <c r="Q37" s="1"/>
      <c r="R37" s="1" t="s">
        <v>86</v>
      </c>
      <c r="S37" s="1" t="s">
        <v>87</v>
      </c>
      <c r="T37" s="1" t="s">
        <v>88</v>
      </c>
      <c r="U37" s="1"/>
      <c r="W37" s="1"/>
      <c r="X37" s="1"/>
      <c r="Y37" t="s">
        <v>108</v>
      </c>
    </row>
    <row r="38" spans="1:28" x14ac:dyDescent="0.3">
      <c r="B38" t="s">
        <v>28</v>
      </c>
      <c r="F38" s="1"/>
      <c r="G38" s="1"/>
      <c r="J38" s="40">
        <v>0</v>
      </c>
      <c r="K38" s="44" t="s">
        <v>8</v>
      </c>
      <c r="L38" s="25">
        <v>0</v>
      </c>
      <c r="M38" s="25" t="s">
        <v>19</v>
      </c>
      <c r="N38" s="25">
        <v>0</v>
      </c>
      <c r="O38" s="25" t="s">
        <v>8</v>
      </c>
      <c r="P38" s="25">
        <v>0</v>
      </c>
      <c r="Q38" s="25" t="s">
        <v>19</v>
      </c>
      <c r="R38" s="25">
        <v>0</v>
      </c>
      <c r="S38" s="25" t="s">
        <v>8</v>
      </c>
      <c r="T38" s="25">
        <v>0</v>
      </c>
      <c r="U38" s="1" t="s">
        <v>19</v>
      </c>
      <c r="W38" s="5"/>
      <c r="X38" s="5"/>
      <c r="Y38" t="s">
        <v>109</v>
      </c>
    </row>
    <row r="39" spans="1:28" x14ac:dyDescent="0.3">
      <c r="F39" s="1">
        <v>6</v>
      </c>
      <c r="G39" s="1" t="s">
        <v>92</v>
      </c>
      <c r="H39" s="1">
        <v>12</v>
      </c>
      <c r="I39" s="8" t="s">
        <v>92</v>
      </c>
      <c r="J39" s="63">
        <f>F39*H4</f>
        <v>72</v>
      </c>
      <c r="K39" s="66" t="s">
        <v>92</v>
      </c>
      <c r="L39" s="63">
        <f>H39*H4</f>
        <v>144</v>
      </c>
      <c r="M39" s="64" t="s">
        <v>92</v>
      </c>
      <c r="N39" s="1"/>
      <c r="P39" s="1"/>
      <c r="Q39" s="1"/>
      <c r="R39" s="1"/>
      <c r="S39" s="1"/>
      <c r="T39" s="1"/>
      <c r="U39" s="1"/>
      <c r="W39" s="5"/>
      <c r="X39" s="5"/>
    </row>
    <row r="40" spans="1:28" x14ac:dyDescent="0.3">
      <c r="B40" t="s">
        <v>36</v>
      </c>
      <c r="J40" s="1"/>
      <c r="K40" s="8"/>
      <c r="L40" s="1"/>
      <c r="M40" s="1"/>
      <c r="N40" s="25"/>
      <c r="O40" s="1"/>
      <c r="P40" s="1"/>
      <c r="S40" s="1"/>
      <c r="T40" s="1"/>
      <c r="U40" s="8"/>
      <c r="W40" s="1">
        <v>0.25</v>
      </c>
      <c r="X40" s="5">
        <f>W40*'Staff Expenses'!$I$7</f>
        <v>7.9228515625</v>
      </c>
    </row>
    <row r="41" spans="1:28" x14ac:dyDescent="0.3">
      <c r="B41" t="s">
        <v>37</v>
      </c>
      <c r="F41" s="1"/>
      <c r="G41" s="1"/>
      <c r="H41" s="1"/>
      <c r="I41" s="1"/>
      <c r="J41" s="1"/>
      <c r="K41" s="8"/>
      <c r="L41" s="1"/>
      <c r="M41" s="1"/>
      <c r="N41" s="1"/>
      <c r="O41" s="8"/>
      <c r="P41" s="1"/>
      <c r="Q41" s="1"/>
      <c r="R41" s="1"/>
      <c r="S41" s="1"/>
      <c r="T41" s="1"/>
      <c r="U41" s="1"/>
      <c r="W41" s="1">
        <v>0.5</v>
      </c>
      <c r="X41" s="5">
        <f>W41*'Staff Expenses'!$I$7</f>
        <v>15.845703125</v>
      </c>
      <c r="Z41" s="30"/>
      <c r="AA41" s="30"/>
      <c r="AB41" s="30"/>
    </row>
    <row r="42" spans="1:28" x14ac:dyDescent="0.3">
      <c r="B42" t="s">
        <v>38</v>
      </c>
      <c r="F42" s="1">
        <v>4</v>
      </c>
      <c r="G42" s="8" t="s">
        <v>93</v>
      </c>
      <c r="H42" s="1">
        <v>4.2</v>
      </c>
      <c r="I42" s="8" t="s">
        <v>92</v>
      </c>
      <c r="J42" s="45">
        <f>F42*$H$4</f>
        <v>48</v>
      </c>
      <c r="K42" s="46" t="s">
        <v>93</v>
      </c>
      <c r="L42" s="65">
        <f>H42*$H$4</f>
        <v>50.400000000000006</v>
      </c>
      <c r="M42" s="66" t="s">
        <v>92</v>
      </c>
      <c r="N42" s="1"/>
      <c r="O42" s="8"/>
      <c r="P42" s="1"/>
      <c r="Q42" s="1"/>
      <c r="R42" s="1"/>
      <c r="S42" s="1"/>
      <c r="T42" s="1"/>
      <c r="U42" s="1"/>
      <c r="W42" s="1"/>
      <c r="X42" s="1"/>
      <c r="Y42" t="s">
        <v>94</v>
      </c>
    </row>
    <row r="43" spans="1:28" x14ac:dyDescent="0.3">
      <c r="B43" t="s">
        <v>39</v>
      </c>
      <c r="F43" s="1"/>
      <c r="G43" s="1"/>
      <c r="H43" s="28">
        <f>1500*0.03</f>
        <v>45</v>
      </c>
      <c r="I43" s="29" t="s">
        <v>35</v>
      </c>
      <c r="J43" s="28"/>
      <c r="K43" s="29"/>
      <c r="L43" s="28"/>
      <c r="M43" s="30"/>
      <c r="N43" s="28"/>
      <c r="O43" s="28"/>
      <c r="P43" s="28"/>
      <c r="Q43" s="28"/>
      <c r="R43" s="28"/>
      <c r="S43" s="28"/>
      <c r="T43" s="28"/>
      <c r="U43" s="28"/>
      <c r="V43" s="30"/>
      <c r="W43" s="28"/>
      <c r="X43" s="28"/>
      <c r="Y43" s="30" t="s">
        <v>97</v>
      </c>
    </row>
    <row r="44" spans="1:28" x14ac:dyDescent="0.3">
      <c r="B44" t="s">
        <v>40</v>
      </c>
      <c r="F44" s="1">
        <v>1.4</v>
      </c>
      <c r="G44" s="8" t="s">
        <v>92</v>
      </c>
      <c r="H44" s="1">
        <v>15</v>
      </c>
      <c r="I44" t="s">
        <v>8</v>
      </c>
      <c r="J44" s="65">
        <f>F44*$H$4</f>
        <v>16.799999999999997</v>
      </c>
      <c r="K44" s="66" t="s">
        <v>92</v>
      </c>
      <c r="L44" s="45">
        <f>H44*$H$4</f>
        <v>180</v>
      </c>
      <c r="M44" s="33" t="s">
        <v>8</v>
      </c>
      <c r="W44" s="1"/>
      <c r="X44" s="1"/>
    </row>
    <row r="45" spans="1:28" x14ac:dyDescent="0.3">
      <c r="B45" t="s">
        <v>41</v>
      </c>
      <c r="F45" s="1"/>
      <c r="G45" s="8"/>
      <c r="H45" s="1"/>
      <c r="J45" s="63">
        <f>3*H5</f>
        <v>30</v>
      </c>
      <c r="K45" s="66" t="s">
        <v>92</v>
      </c>
      <c r="L45" s="40">
        <f>7*H5</f>
        <v>70</v>
      </c>
      <c r="M45" s="33" t="s">
        <v>8</v>
      </c>
      <c r="W45" s="1"/>
      <c r="X45" s="1"/>
      <c r="Y45" t="s">
        <v>99</v>
      </c>
    </row>
    <row r="46" spans="1:28" x14ac:dyDescent="0.3">
      <c r="B46" t="s">
        <v>44</v>
      </c>
      <c r="F46" s="1"/>
      <c r="G46" s="8"/>
      <c r="H46" s="1"/>
      <c r="J46" s="69">
        <v>14</v>
      </c>
      <c r="K46" s="33" t="s">
        <v>95</v>
      </c>
      <c r="L46" s="40">
        <v>14</v>
      </c>
      <c r="M46" s="33" t="s">
        <v>95</v>
      </c>
      <c r="N46" s="31">
        <v>3000</v>
      </c>
      <c r="O46" s="24" t="s">
        <v>98</v>
      </c>
      <c r="P46" s="31">
        <v>3000</v>
      </c>
      <c r="Q46" s="24" t="s">
        <v>98</v>
      </c>
      <c r="W46" s="1"/>
      <c r="X46" s="1"/>
      <c r="Y46" t="s">
        <v>96</v>
      </c>
    </row>
    <row r="47" spans="1:28" x14ac:dyDescent="0.3">
      <c r="B47" t="s">
        <v>34</v>
      </c>
      <c r="J47" s="69">
        <v>2</v>
      </c>
      <c r="L47" s="40">
        <v>2</v>
      </c>
      <c r="W47" s="1"/>
      <c r="X47" s="1"/>
    </row>
    <row r="48" spans="1:28" x14ac:dyDescent="0.3">
      <c r="B48" s="4" t="s">
        <v>42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21">
        <v>0.5</v>
      </c>
      <c r="X48" s="56">
        <f>W48*'Staff Expenses'!I7</f>
        <v>15.845703125</v>
      </c>
    </row>
    <row r="49" spans="1:25" x14ac:dyDescent="0.3">
      <c r="B49" s="35" t="s">
        <v>100</v>
      </c>
      <c r="C49" s="35"/>
      <c r="D49" s="35"/>
      <c r="E49" s="51"/>
      <c r="F49" s="51"/>
      <c r="G49" s="51"/>
      <c r="H49" s="51"/>
      <c r="I49" s="51"/>
      <c r="J49" s="51">
        <f>J38+J42+L44+J46+J47+L45</f>
        <v>314</v>
      </c>
      <c r="K49" s="51"/>
      <c r="L49" s="51">
        <f>J38+L42+L44+L45+L46+L47</f>
        <v>316.39999999999998</v>
      </c>
      <c r="M49" s="51"/>
      <c r="N49" s="51">
        <f>SUM(N38:N48)</f>
        <v>3000</v>
      </c>
      <c r="O49" s="51"/>
      <c r="P49" s="51">
        <f>SUM(P38:P48)</f>
        <v>3000</v>
      </c>
      <c r="Q49" s="51"/>
      <c r="R49" s="51">
        <v>0</v>
      </c>
      <c r="S49" s="51"/>
      <c r="T49" s="51">
        <f>SUM(T38:T48)</f>
        <v>0</v>
      </c>
      <c r="U49" s="52"/>
      <c r="V49" s="52"/>
      <c r="W49" s="51">
        <f>SUM(W38:W48)</f>
        <v>1.25</v>
      </c>
      <c r="X49" s="51">
        <f>W49*'Staff Expenses'!$I$7</f>
        <v>39.6142578125</v>
      </c>
    </row>
    <row r="50" spans="1:25" x14ac:dyDescent="0.3">
      <c r="B50" s="53" t="s">
        <v>101</v>
      </c>
      <c r="C50" s="53"/>
      <c r="D50" s="53"/>
      <c r="E50" s="54"/>
      <c r="F50" s="54"/>
      <c r="G50" s="54"/>
      <c r="H50" s="54"/>
      <c r="I50" s="54"/>
      <c r="J50" s="54">
        <f>J39+L42+J44+J45+J46+J47</f>
        <v>185.2</v>
      </c>
      <c r="K50" s="54"/>
      <c r="L50" s="54">
        <f>L39+L42+J44+J45+J46+J47</f>
        <v>257.2</v>
      </c>
      <c r="M50" s="54"/>
      <c r="N50" s="54">
        <f>N46</f>
        <v>3000</v>
      </c>
      <c r="O50" s="54"/>
      <c r="P50" s="54">
        <f>P46</f>
        <v>3000</v>
      </c>
      <c r="Q50" s="54"/>
      <c r="R50" s="54">
        <f>R49</f>
        <v>0</v>
      </c>
      <c r="S50" s="54"/>
      <c r="T50" s="54">
        <f>T49</f>
        <v>0</v>
      </c>
      <c r="U50" s="55"/>
      <c r="V50" s="55"/>
      <c r="W50" s="54">
        <f t="shared" ref="W50:X52" si="2">W49</f>
        <v>1.25</v>
      </c>
      <c r="X50" s="54">
        <f t="shared" si="2"/>
        <v>39.6142578125</v>
      </c>
    </row>
    <row r="51" spans="1:25" x14ac:dyDescent="0.3">
      <c r="B51" s="82" t="s">
        <v>111</v>
      </c>
      <c r="C51" s="82"/>
      <c r="D51" s="82"/>
      <c r="E51" s="82"/>
      <c r="F51" s="87"/>
      <c r="G51" s="87"/>
      <c r="H51" s="87"/>
      <c r="I51" s="87"/>
      <c r="J51" s="87">
        <f>J42+J44+J45+J46+J47</f>
        <v>110.8</v>
      </c>
      <c r="K51" s="87"/>
      <c r="L51" s="87">
        <f>L47+L46+J45+J44+L42</f>
        <v>113.2</v>
      </c>
      <c r="M51" s="87"/>
      <c r="N51" s="87">
        <f>N46</f>
        <v>3000</v>
      </c>
      <c r="O51" s="87"/>
      <c r="P51" s="87">
        <f>N51</f>
        <v>3000</v>
      </c>
      <c r="Q51" s="87"/>
      <c r="R51" s="87">
        <f>R44</f>
        <v>0</v>
      </c>
      <c r="S51" s="87"/>
      <c r="T51" s="87">
        <f>R51</f>
        <v>0</v>
      </c>
      <c r="U51" s="87"/>
      <c r="V51" s="88"/>
      <c r="W51" s="87">
        <f t="shared" si="2"/>
        <v>1.25</v>
      </c>
      <c r="X51" s="87">
        <f t="shared" si="2"/>
        <v>39.6142578125</v>
      </c>
    </row>
    <row r="52" spans="1:25" x14ac:dyDescent="0.3">
      <c r="B52" s="82" t="s">
        <v>117</v>
      </c>
      <c r="C52" s="82"/>
      <c r="D52" s="82"/>
      <c r="E52" s="82"/>
      <c r="F52" s="87"/>
      <c r="G52" s="87"/>
      <c r="H52" s="87"/>
      <c r="I52" s="87"/>
      <c r="J52" s="87">
        <f>J38+J42+L44+L45+J46+J47</f>
        <v>314</v>
      </c>
      <c r="K52" s="87"/>
      <c r="L52" s="87">
        <f>J38+L42+L44+L45+L46+L47</f>
        <v>316.39999999999998</v>
      </c>
      <c r="M52" s="87"/>
      <c r="N52" s="87">
        <f>N46</f>
        <v>3000</v>
      </c>
      <c r="O52" s="87"/>
      <c r="P52" s="87">
        <f>N52</f>
        <v>3000</v>
      </c>
      <c r="Q52" s="87"/>
      <c r="R52" s="87">
        <f>R45</f>
        <v>0</v>
      </c>
      <c r="S52" s="87"/>
      <c r="T52" s="87">
        <f>R52</f>
        <v>0</v>
      </c>
      <c r="U52" s="87"/>
      <c r="V52" s="88"/>
      <c r="W52" s="87">
        <f t="shared" si="2"/>
        <v>1.25</v>
      </c>
      <c r="X52" s="87">
        <f t="shared" si="2"/>
        <v>39.6142578125</v>
      </c>
    </row>
    <row r="53" spans="1:25" s="26" customFormat="1" x14ac:dyDescent="0.3">
      <c r="B53" s="96"/>
      <c r="C53" s="96"/>
      <c r="D53" s="96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7"/>
      <c r="V53" s="97"/>
      <c r="W53" s="94"/>
      <c r="X53" s="94"/>
    </row>
    <row r="54" spans="1:25" x14ac:dyDescent="0.3">
      <c r="A54" s="2" t="s">
        <v>43</v>
      </c>
      <c r="W54" s="1"/>
      <c r="X54" s="1"/>
    </row>
    <row r="55" spans="1:25" x14ac:dyDescent="0.3">
      <c r="F55" s="100" t="s">
        <v>14</v>
      </c>
      <c r="G55" s="100"/>
      <c r="H55" s="100"/>
      <c r="I55" s="100"/>
      <c r="J55" s="100"/>
      <c r="K55" s="100"/>
      <c r="L55" s="100"/>
      <c r="M55" s="100"/>
      <c r="N55" s="104" t="s">
        <v>16</v>
      </c>
      <c r="O55" s="104"/>
      <c r="P55" s="104"/>
      <c r="Q55" s="104"/>
      <c r="R55" s="104"/>
      <c r="S55" s="104"/>
      <c r="T55" s="104"/>
      <c r="U55" s="104"/>
    </row>
    <row r="56" spans="1:25" x14ac:dyDescent="0.3">
      <c r="B56" s="3"/>
      <c r="C56" s="3"/>
      <c r="D56" s="3"/>
      <c r="E56" s="3"/>
      <c r="F56" s="101" t="s">
        <v>6</v>
      </c>
      <c r="G56" s="101"/>
      <c r="H56" s="101"/>
      <c r="I56" s="101"/>
      <c r="J56" s="101" t="s">
        <v>11</v>
      </c>
      <c r="K56" s="101"/>
      <c r="L56" s="101"/>
      <c r="M56" s="101"/>
      <c r="N56" s="20"/>
      <c r="O56" s="20"/>
      <c r="P56" s="20"/>
      <c r="Q56" s="3"/>
      <c r="R56" s="3"/>
      <c r="S56" s="3"/>
      <c r="T56" s="3"/>
      <c r="U56" s="3"/>
      <c r="V56" s="3"/>
      <c r="W56" s="101" t="s">
        <v>63</v>
      </c>
      <c r="X56" s="101"/>
    </row>
    <row r="57" spans="1:25" x14ac:dyDescent="0.3">
      <c r="B57" s="4" t="s">
        <v>7</v>
      </c>
      <c r="C57" s="4"/>
      <c r="D57" s="4"/>
      <c r="E57" s="4"/>
      <c r="F57" s="102" t="s">
        <v>10</v>
      </c>
      <c r="G57" s="102"/>
      <c r="H57" s="102"/>
      <c r="I57" s="102"/>
      <c r="J57" s="102" t="s">
        <v>9</v>
      </c>
      <c r="K57" s="102"/>
      <c r="L57" s="102"/>
      <c r="M57" s="102"/>
      <c r="N57" s="102" t="s">
        <v>12</v>
      </c>
      <c r="O57" s="102"/>
      <c r="P57" s="102"/>
      <c r="Q57" s="102"/>
      <c r="R57" s="21"/>
      <c r="S57" s="103" t="s">
        <v>13</v>
      </c>
      <c r="T57" s="103"/>
      <c r="U57" s="103"/>
      <c r="V57" s="4"/>
      <c r="W57" s="21" t="s">
        <v>15</v>
      </c>
      <c r="X57" s="21" t="s">
        <v>64</v>
      </c>
    </row>
    <row r="58" spans="1:25" x14ac:dyDescent="0.3">
      <c r="F58" s="1" t="s">
        <v>86</v>
      </c>
      <c r="G58" s="1" t="s">
        <v>87</v>
      </c>
      <c r="H58" s="1" t="s">
        <v>88</v>
      </c>
      <c r="I58" s="1"/>
      <c r="J58" s="1" t="s">
        <v>86</v>
      </c>
      <c r="K58" s="1" t="s">
        <v>87</v>
      </c>
      <c r="L58" s="1" t="s">
        <v>88</v>
      </c>
      <c r="M58" s="1"/>
      <c r="N58" s="1" t="s">
        <v>86</v>
      </c>
      <c r="O58" s="1" t="s">
        <v>87</v>
      </c>
      <c r="P58" s="1" t="s">
        <v>88</v>
      </c>
      <c r="Q58" s="1"/>
      <c r="R58" s="1" t="s">
        <v>86</v>
      </c>
      <c r="S58" s="1" t="s">
        <v>87</v>
      </c>
      <c r="T58" s="1" t="s">
        <v>88</v>
      </c>
      <c r="U58" s="1"/>
    </row>
    <row r="59" spans="1:25" x14ac:dyDescent="0.3">
      <c r="B59" t="s">
        <v>45</v>
      </c>
      <c r="G59" s="14"/>
      <c r="H59" s="14"/>
      <c r="I59" s="14"/>
      <c r="J59" s="47">
        <v>0</v>
      </c>
      <c r="K59" s="48" t="s">
        <v>8</v>
      </c>
      <c r="L59" s="58">
        <v>25</v>
      </c>
      <c r="M59" s="61" t="s">
        <v>75</v>
      </c>
      <c r="N59" s="61">
        <v>2000</v>
      </c>
      <c r="O59" s="61" t="s">
        <v>75</v>
      </c>
      <c r="P59" s="48">
        <v>1200</v>
      </c>
      <c r="Q59" s="48" t="s">
        <v>8</v>
      </c>
      <c r="R59" s="47">
        <v>0</v>
      </c>
      <c r="S59" s="48" t="s">
        <v>8</v>
      </c>
      <c r="T59" s="61">
        <v>2000</v>
      </c>
      <c r="U59" s="62" t="s">
        <v>75</v>
      </c>
      <c r="W59" s="72">
        <v>0.1</v>
      </c>
      <c r="X59" s="72">
        <f>W59*'Staff Expenses'!I7</f>
        <v>3.1691406250000003</v>
      </c>
      <c r="Y59" t="s">
        <v>110</v>
      </c>
    </row>
    <row r="60" spans="1:25" x14ac:dyDescent="0.3">
      <c r="B60" t="s">
        <v>46</v>
      </c>
      <c r="G60" s="14"/>
      <c r="H60" s="14"/>
      <c r="I60" s="14"/>
      <c r="J60" s="49">
        <v>0.25</v>
      </c>
      <c r="K60" s="14"/>
      <c r="L60" s="59">
        <v>0.25</v>
      </c>
      <c r="M60" s="14"/>
      <c r="N60" s="61">
        <v>238</v>
      </c>
      <c r="O60" s="14"/>
      <c r="P60" s="48">
        <v>238</v>
      </c>
      <c r="Q60" s="14"/>
      <c r="R60" s="48">
        <v>1000</v>
      </c>
      <c r="S60" s="14"/>
      <c r="T60" s="32">
        <v>7500</v>
      </c>
      <c r="W60" s="72">
        <v>0.1</v>
      </c>
      <c r="X60" s="72">
        <f>W60*'Staff Expenses'!I7</f>
        <v>3.1691406250000003</v>
      </c>
    </row>
    <row r="61" spans="1:25" x14ac:dyDescent="0.3">
      <c r="B61" t="s">
        <v>47</v>
      </c>
      <c r="G61" s="14"/>
      <c r="H61" s="14"/>
      <c r="I61" s="14"/>
      <c r="J61" s="14"/>
      <c r="K61" s="14"/>
      <c r="L61" s="14"/>
      <c r="M61" s="14"/>
      <c r="N61" s="61">
        <v>150</v>
      </c>
      <c r="O61" s="61" t="s">
        <v>50</v>
      </c>
      <c r="P61" s="50">
        <v>150</v>
      </c>
      <c r="Q61" s="50" t="s">
        <v>50</v>
      </c>
      <c r="R61" s="14"/>
      <c r="S61" s="14"/>
      <c r="T61" s="14"/>
      <c r="W61" s="72">
        <v>0.1</v>
      </c>
      <c r="X61" s="72">
        <f>W61*'Staff Expenses'!I7</f>
        <v>3.1691406250000003</v>
      </c>
      <c r="Y61" t="s">
        <v>49</v>
      </c>
    </row>
    <row r="62" spans="1:25" x14ac:dyDescent="0.3">
      <c r="B62" s="4" t="s">
        <v>48</v>
      </c>
      <c r="C62" s="4"/>
      <c r="D62" s="4"/>
      <c r="E62" s="4"/>
      <c r="F62" s="4"/>
      <c r="G62" s="15"/>
      <c r="H62" s="15"/>
      <c r="I62" s="15"/>
      <c r="J62" s="57">
        <v>2</v>
      </c>
      <c r="K62" s="15"/>
      <c r="L62" s="60">
        <v>2</v>
      </c>
      <c r="M62" s="15"/>
      <c r="N62" s="15"/>
      <c r="O62" s="15"/>
      <c r="P62" s="15"/>
      <c r="Q62" s="15"/>
      <c r="R62" s="15"/>
      <c r="S62" s="15"/>
      <c r="T62" s="15"/>
      <c r="U62" s="4"/>
      <c r="V62" s="4"/>
      <c r="W62" s="4"/>
      <c r="X62" s="4"/>
    </row>
    <row r="63" spans="1:25" x14ac:dyDescent="0.3">
      <c r="B63" s="35" t="s">
        <v>100</v>
      </c>
      <c r="C63" s="35"/>
      <c r="D63" s="35"/>
      <c r="E63" s="51"/>
      <c r="F63" s="51"/>
      <c r="G63" s="51"/>
      <c r="H63" s="51"/>
      <c r="I63" s="51"/>
      <c r="J63" s="51">
        <f>J59+J60+J62</f>
        <v>2.25</v>
      </c>
      <c r="K63" s="51"/>
      <c r="L63" s="51">
        <f>J59+J60+J62</f>
        <v>2.25</v>
      </c>
      <c r="M63" s="51"/>
      <c r="N63" s="51">
        <f>P59+P60+P61</f>
        <v>1588</v>
      </c>
      <c r="O63" s="51"/>
      <c r="P63" s="51">
        <f>P59+P60+P61</f>
        <v>1588</v>
      </c>
      <c r="Q63" s="51"/>
      <c r="R63" s="51">
        <f>R59+R60</f>
        <v>1000</v>
      </c>
      <c r="S63" s="51"/>
      <c r="T63" s="51">
        <f>R59+R60</f>
        <v>1000</v>
      </c>
      <c r="U63" s="51"/>
      <c r="V63" s="51"/>
      <c r="W63" s="51">
        <f>SUM(W58:W62)</f>
        <v>0.30000000000000004</v>
      </c>
      <c r="X63" s="51">
        <f>SUM(X58:X62)</f>
        <v>9.5074218750000004</v>
      </c>
    </row>
    <row r="64" spans="1:25" x14ac:dyDescent="0.3">
      <c r="B64" s="35" t="s">
        <v>123</v>
      </c>
      <c r="C64" s="35"/>
      <c r="D64" s="35"/>
      <c r="E64" s="51"/>
      <c r="F64" s="51"/>
      <c r="G64" s="51"/>
      <c r="H64" s="51"/>
      <c r="I64" s="51"/>
      <c r="J64" s="51">
        <f>J60+J62+L59</f>
        <v>27.25</v>
      </c>
      <c r="K64" s="51"/>
      <c r="L64" s="51">
        <f>J64</f>
        <v>27.25</v>
      </c>
      <c r="M64" s="51"/>
      <c r="N64" s="51">
        <f>N59+N60+N61</f>
        <v>2388</v>
      </c>
      <c r="O64" s="51"/>
      <c r="P64" s="51">
        <f>N64</f>
        <v>2388</v>
      </c>
      <c r="Q64" s="51"/>
      <c r="R64" s="51">
        <f>T59+R60</f>
        <v>3000</v>
      </c>
      <c r="S64" s="51"/>
      <c r="T64" s="51">
        <f>R64</f>
        <v>3000</v>
      </c>
      <c r="U64" s="51"/>
      <c r="V64" s="51"/>
      <c r="W64" s="51">
        <f>W63</f>
        <v>0.30000000000000004</v>
      </c>
      <c r="X64" s="51">
        <f>X63</f>
        <v>9.5074218750000004</v>
      </c>
    </row>
    <row r="65" spans="2:25" x14ac:dyDescent="0.3">
      <c r="B65" s="53" t="s">
        <v>101</v>
      </c>
      <c r="C65" s="53"/>
      <c r="D65" s="53"/>
      <c r="E65" s="54"/>
      <c r="F65" s="54"/>
      <c r="G65" s="54"/>
      <c r="H65" s="54"/>
      <c r="I65" s="54"/>
      <c r="J65" s="54">
        <f>L59+L60+L62</f>
        <v>27.25</v>
      </c>
      <c r="K65" s="54"/>
      <c r="L65" s="54">
        <f>L59+L60+L62</f>
        <v>27.25</v>
      </c>
      <c r="M65" s="54"/>
      <c r="N65" s="54">
        <f>N59+N60+N61</f>
        <v>2388</v>
      </c>
      <c r="O65" s="54"/>
      <c r="P65" s="54">
        <f>N59+N60+N61</f>
        <v>2388</v>
      </c>
      <c r="Q65" s="54"/>
      <c r="R65" s="54">
        <f>T59+R60</f>
        <v>3000</v>
      </c>
      <c r="S65" s="54"/>
      <c r="T65" s="54">
        <f>T59+R60</f>
        <v>3000</v>
      </c>
      <c r="U65" s="55"/>
      <c r="V65" s="55"/>
      <c r="W65" s="54">
        <f>W63</f>
        <v>0.30000000000000004</v>
      </c>
      <c r="X65" s="54">
        <f>X63</f>
        <v>9.5074218750000004</v>
      </c>
    </row>
    <row r="66" spans="2:25" x14ac:dyDescent="0.3">
      <c r="B66" s="82" t="s">
        <v>111</v>
      </c>
      <c r="C66" s="82"/>
      <c r="D66" s="82"/>
      <c r="E66" s="82"/>
      <c r="F66" s="87"/>
      <c r="G66" s="87"/>
      <c r="H66" s="87"/>
      <c r="I66" s="87"/>
      <c r="J66" s="87">
        <f>J59+J60+J62</f>
        <v>2.25</v>
      </c>
      <c r="K66" s="87"/>
      <c r="L66" s="87">
        <f>J59+L60+L62</f>
        <v>2.25</v>
      </c>
      <c r="M66" s="87"/>
      <c r="N66" s="87">
        <f>N60+N61</f>
        <v>388</v>
      </c>
      <c r="O66" s="87"/>
      <c r="P66" s="87">
        <f>N66</f>
        <v>388</v>
      </c>
      <c r="Q66" s="87"/>
      <c r="R66" s="87">
        <f>R60</f>
        <v>1000</v>
      </c>
      <c r="S66" s="87"/>
      <c r="T66" s="87">
        <f>R60</f>
        <v>1000</v>
      </c>
      <c r="U66" s="87"/>
      <c r="V66" s="88"/>
      <c r="W66" s="87">
        <f>W65</f>
        <v>0.30000000000000004</v>
      </c>
      <c r="X66" s="87">
        <f>X65</f>
        <v>9.5074218750000004</v>
      </c>
    </row>
    <row r="67" spans="2:25" ht="15" thickBot="1" x14ac:dyDescent="0.35">
      <c r="B67" s="73"/>
      <c r="C67" s="73"/>
      <c r="D67" s="73"/>
      <c r="E67" s="73"/>
      <c r="F67" s="73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3"/>
      <c r="V67" s="73"/>
      <c r="W67" s="73"/>
      <c r="X67" s="73"/>
    </row>
    <row r="68" spans="2:25" ht="15" thickTop="1" x14ac:dyDescent="0.3">
      <c r="B68" s="35" t="s">
        <v>102</v>
      </c>
      <c r="C68" s="35"/>
      <c r="D68" s="35"/>
      <c r="E68" s="51"/>
      <c r="F68" s="51"/>
      <c r="G68" s="51"/>
      <c r="H68" s="51"/>
      <c r="I68" s="51"/>
      <c r="J68" s="51">
        <f>J63+J49+J25</f>
        <v>389.27499999999998</v>
      </c>
      <c r="K68" s="51"/>
      <c r="L68" s="51">
        <f>L63+L49+L25</f>
        <v>391.92499999999995</v>
      </c>
      <c r="M68" s="51"/>
      <c r="N68" s="51">
        <f>N63+N49+N25</f>
        <v>4918</v>
      </c>
      <c r="O68" s="51"/>
      <c r="P68" s="51">
        <f>P63+P49+P25</f>
        <v>4918</v>
      </c>
      <c r="Q68" s="51"/>
      <c r="R68" s="51">
        <f>R63+R49+R25</f>
        <v>1000</v>
      </c>
      <c r="S68" s="51"/>
      <c r="T68" s="51">
        <f>T63+T49+T25</f>
        <v>1000</v>
      </c>
      <c r="U68" s="51"/>
      <c r="V68" s="51"/>
      <c r="W68" s="51">
        <f>W63+W49+W25</f>
        <v>12.200000000000001</v>
      </c>
      <c r="X68" s="51">
        <f>X63+X49+X25</f>
        <v>482.54062500000003</v>
      </c>
    </row>
    <row r="69" spans="2:25" x14ac:dyDescent="0.3">
      <c r="B69" s="35" t="s">
        <v>124</v>
      </c>
      <c r="C69" s="35"/>
      <c r="D69" s="35"/>
      <c r="E69" s="51"/>
      <c r="F69" s="51"/>
      <c r="G69" s="51"/>
      <c r="H69" s="51"/>
      <c r="I69" s="51"/>
      <c r="J69" s="51">
        <f>J26+J49+J64</f>
        <v>370.375</v>
      </c>
      <c r="K69" s="51"/>
      <c r="L69" s="51">
        <f>L26+L49+L64</f>
        <v>372.77499999999998</v>
      </c>
      <c r="M69" s="51"/>
      <c r="N69" s="51">
        <f>N26+N49+N64</f>
        <v>5718</v>
      </c>
      <c r="O69" s="51"/>
      <c r="P69" s="51">
        <f>P26+P49+P64</f>
        <v>5718</v>
      </c>
      <c r="Q69" s="51"/>
      <c r="R69" s="51">
        <f>R26+R49+R64</f>
        <v>3000</v>
      </c>
      <c r="S69" s="51"/>
      <c r="T69" s="51">
        <f>T26+T49+T64</f>
        <v>3000</v>
      </c>
      <c r="U69" s="51"/>
      <c r="V69" s="51"/>
      <c r="W69" s="51">
        <f>W26+W49+W64</f>
        <v>3.8</v>
      </c>
      <c r="X69" s="51">
        <f>X26+X49+X64</f>
        <v>140.68906250000001</v>
      </c>
    </row>
    <row r="70" spans="2:25" x14ac:dyDescent="0.3">
      <c r="B70" s="53" t="s">
        <v>103</v>
      </c>
      <c r="C70" s="53"/>
      <c r="D70" s="53"/>
      <c r="E70" s="54"/>
      <c r="F70" s="54"/>
      <c r="G70" s="54"/>
      <c r="H70" s="54"/>
      <c r="I70" s="54"/>
      <c r="J70" s="54">
        <f>J28+J50+J65</f>
        <v>280.72500000000002</v>
      </c>
      <c r="K70" s="54"/>
      <c r="L70" s="54">
        <f>L28+L50+L65</f>
        <v>377.72500000000002</v>
      </c>
      <c r="M70" s="54"/>
      <c r="N70" s="54">
        <f>N28+N50+N65</f>
        <v>5718</v>
      </c>
      <c r="O70" s="54"/>
      <c r="P70" s="54">
        <f>P28+P50+P65</f>
        <v>5718</v>
      </c>
      <c r="Q70" s="54"/>
      <c r="R70" s="54">
        <f>R28+R50+R65</f>
        <v>3000</v>
      </c>
      <c r="S70" s="54"/>
      <c r="T70" s="54">
        <f>T28+T50+T65</f>
        <v>3000</v>
      </c>
      <c r="U70" s="54"/>
      <c r="V70" s="54"/>
      <c r="W70" s="54">
        <f>W28+W50+W65</f>
        <v>12.200000000000001</v>
      </c>
      <c r="X70" s="54">
        <f>X28+X50+X65</f>
        <v>482.54062500000003</v>
      </c>
      <c r="Y70" s="98"/>
    </row>
    <row r="71" spans="2:25" x14ac:dyDescent="0.3">
      <c r="B71" s="53" t="s">
        <v>126</v>
      </c>
      <c r="C71" s="53"/>
      <c r="D71" s="53"/>
      <c r="E71" s="54"/>
      <c r="F71" s="54"/>
      <c r="G71" s="54"/>
      <c r="H71" s="54"/>
      <c r="I71" s="54"/>
      <c r="J71" s="54">
        <f>J29+J50+J65</f>
        <v>242.25</v>
      </c>
      <c r="K71" s="54"/>
      <c r="L71" s="54">
        <f t="shared" ref="L71:X71" si="3">L29+L50+L65</f>
        <v>314.25</v>
      </c>
      <c r="M71" s="54"/>
      <c r="N71" s="54">
        <f t="shared" si="3"/>
        <v>5718</v>
      </c>
      <c r="O71" s="54"/>
      <c r="P71" s="54">
        <f t="shared" si="3"/>
        <v>5718</v>
      </c>
      <c r="Q71" s="54"/>
      <c r="R71" s="54">
        <f t="shared" si="3"/>
        <v>3000</v>
      </c>
      <c r="S71" s="54"/>
      <c r="T71" s="54">
        <f t="shared" si="3"/>
        <v>3000</v>
      </c>
      <c r="U71" s="54"/>
      <c r="V71" s="54"/>
      <c r="W71" s="54">
        <f t="shared" si="3"/>
        <v>3.8</v>
      </c>
      <c r="X71" s="54">
        <f t="shared" si="3"/>
        <v>140.68906250000001</v>
      </c>
      <c r="Y71" s="98"/>
    </row>
    <row r="72" spans="2:25" x14ac:dyDescent="0.3">
      <c r="B72" s="82" t="s">
        <v>113</v>
      </c>
      <c r="C72" s="82"/>
      <c r="D72" s="82"/>
      <c r="E72" s="87"/>
      <c r="F72" s="87"/>
      <c r="G72" s="87"/>
      <c r="H72" s="87"/>
      <c r="I72" s="87"/>
      <c r="J72" s="87">
        <f>J30+J51+J66</f>
        <v>141.05000000000001</v>
      </c>
      <c r="K72" s="87"/>
      <c r="L72" s="87">
        <f>L30+L51+L66</f>
        <v>143.44999999999999</v>
      </c>
      <c r="M72" s="87"/>
      <c r="N72" s="87">
        <f>N30+N51+N66</f>
        <v>3718</v>
      </c>
      <c r="O72" s="87"/>
      <c r="P72" s="87">
        <f>P30+P51+P66</f>
        <v>3718</v>
      </c>
      <c r="Q72" s="87"/>
      <c r="R72" s="87">
        <f>R30+R51+R66</f>
        <v>1000</v>
      </c>
      <c r="S72" s="87"/>
      <c r="T72" s="87">
        <f>T30+T51+T66</f>
        <v>1000</v>
      </c>
      <c r="U72" s="87"/>
      <c r="V72" s="87"/>
      <c r="W72" s="87">
        <f>W30+W51+W66</f>
        <v>1.55</v>
      </c>
      <c r="X72" s="87">
        <f>X30+X51+X66</f>
        <v>49.121679687499999</v>
      </c>
      <c r="Y72" s="98"/>
    </row>
    <row r="73" spans="2:25" x14ac:dyDescent="0.3">
      <c r="B73" s="82" t="s">
        <v>118</v>
      </c>
      <c r="C73" s="82"/>
      <c r="D73" s="82"/>
      <c r="E73" s="87"/>
      <c r="F73" s="87"/>
      <c r="G73" s="87"/>
      <c r="H73" s="87"/>
      <c r="I73" s="87"/>
      <c r="J73" s="87">
        <f>J66+J52+J31</f>
        <v>369.52499999999998</v>
      </c>
      <c r="K73" s="87"/>
      <c r="L73" s="87">
        <f>L66+L52+L31</f>
        <v>371.92499999999995</v>
      </c>
      <c r="M73" s="87"/>
      <c r="N73" s="87">
        <f>N72</f>
        <v>3718</v>
      </c>
      <c r="O73" s="87"/>
      <c r="P73" s="87">
        <f>P72</f>
        <v>3718</v>
      </c>
      <c r="Q73" s="87"/>
      <c r="R73" s="87">
        <f>R72</f>
        <v>1000</v>
      </c>
      <c r="S73" s="87"/>
      <c r="T73" s="87">
        <f>T72</f>
        <v>1000</v>
      </c>
      <c r="U73" s="87"/>
      <c r="V73" s="87"/>
      <c r="W73" s="87">
        <f>W72</f>
        <v>1.55</v>
      </c>
      <c r="X73" s="87">
        <f>X72</f>
        <v>49.121679687499999</v>
      </c>
      <c r="Y73" s="98"/>
    </row>
    <row r="74" spans="2:25" x14ac:dyDescent="0.3">
      <c r="Y74" s="26"/>
    </row>
    <row r="75" spans="2:25" x14ac:dyDescent="0.3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4" t="s">
        <v>51</v>
      </c>
    </row>
    <row r="76" spans="2:25" x14ac:dyDescent="0.3">
      <c r="B76" s="35" t="s">
        <v>66</v>
      </c>
      <c r="C76" s="33"/>
      <c r="D76" s="35" t="s">
        <v>14</v>
      </c>
      <c r="E76" s="35"/>
      <c r="F76" s="33"/>
      <c r="G76" s="33"/>
      <c r="H76" s="33"/>
      <c r="I76" s="33"/>
      <c r="J76" s="36">
        <f>J68</f>
        <v>389.27499999999998</v>
      </c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6">
        <f>X68</f>
        <v>482.54062500000003</v>
      </c>
      <c r="Y76" s="36">
        <f>J76+X76</f>
        <v>871.81562499999995</v>
      </c>
    </row>
    <row r="77" spans="2:25" x14ac:dyDescent="0.3">
      <c r="B77" s="33"/>
      <c r="C77" s="33"/>
      <c r="D77" s="35" t="s">
        <v>67</v>
      </c>
      <c r="E77" s="35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6">
        <f>N68+R68</f>
        <v>5918</v>
      </c>
      <c r="Q77" s="33"/>
      <c r="R77" s="33"/>
      <c r="S77" s="33"/>
      <c r="T77" s="33"/>
      <c r="U77" s="33"/>
      <c r="V77" s="33"/>
      <c r="W77" s="33"/>
      <c r="X77" s="33"/>
      <c r="Y77" s="36">
        <f>P77</f>
        <v>5918</v>
      </c>
    </row>
    <row r="78" spans="2:25" x14ac:dyDescent="0.3">
      <c r="B78" s="33"/>
      <c r="C78" s="33"/>
      <c r="D78" s="35" t="s">
        <v>68</v>
      </c>
      <c r="E78" s="35"/>
      <c r="F78" s="37">
        <v>30</v>
      </c>
      <c r="G78" s="33"/>
      <c r="H78" s="33"/>
      <c r="I78" s="33"/>
      <c r="J78" s="33"/>
      <c r="K78" s="33"/>
      <c r="L78" s="33"/>
      <c r="M78" s="33"/>
      <c r="N78" s="33"/>
      <c r="O78" s="33"/>
      <c r="P78" s="38">
        <f>$P$77/F78</f>
        <v>197.26666666666668</v>
      </c>
      <c r="Q78" s="33"/>
      <c r="R78" s="33"/>
      <c r="S78" s="33"/>
      <c r="T78" s="33"/>
      <c r="U78" s="33"/>
      <c r="V78" s="33"/>
      <c r="W78" s="33"/>
      <c r="X78" s="33"/>
      <c r="Y78" s="33"/>
    </row>
    <row r="79" spans="2:25" x14ac:dyDescent="0.3">
      <c r="B79" s="33"/>
      <c r="C79" s="33"/>
      <c r="D79" s="33"/>
      <c r="E79" s="33"/>
      <c r="F79" s="37">
        <v>100</v>
      </c>
      <c r="G79" s="33"/>
      <c r="H79" s="33"/>
      <c r="I79" s="33"/>
      <c r="J79" s="33"/>
      <c r="K79" s="33"/>
      <c r="L79" s="33"/>
      <c r="M79" s="33"/>
      <c r="N79" s="33"/>
      <c r="O79" s="33"/>
      <c r="P79" s="38">
        <f t="shared" ref="P79:P80" si="4">$P$77/F79</f>
        <v>59.18</v>
      </c>
      <c r="Q79" s="33"/>
      <c r="R79" s="33"/>
      <c r="S79" s="33"/>
      <c r="T79" s="33"/>
      <c r="U79" s="33"/>
      <c r="V79" s="33"/>
      <c r="W79" s="33"/>
      <c r="X79" s="33"/>
      <c r="Y79" s="33"/>
    </row>
    <row r="80" spans="2:25" x14ac:dyDescent="0.3">
      <c r="B80" s="33"/>
      <c r="C80" s="33"/>
      <c r="D80" s="33"/>
      <c r="E80" s="33"/>
      <c r="F80" s="37">
        <v>1200</v>
      </c>
      <c r="G80" s="33"/>
      <c r="H80" s="33"/>
      <c r="I80" s="33"/>
      <c r="J80" s="33"/>
      <c r="K80" s="33"/>
      <c r="L80" s="33"/>
      <c r="M80" s="33"/>
      <c r="N80" s="33"/>
      <c r="O80" s="33"/>
      <c r="P80" s="38">
        <f t="shared" si="4"/>
        <v>4.9316666666666666</v>
      </c>
      <c r="Q80" s="33"/>
      <c r="R80" s="33"/>
      <c r="S80" s="33"/>
      <c r="T80" s="33"/>
      <c r="U80" s="33"/>
      <c r="V80" s="33"/>
      <c r="W80" s="33"/>
      <c r="X80" s="33"/>
      <c r="Y80" s="33"/>
    </row>
    <row r="81" spans="2:25" x14ac:dyDescent="0.3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</row>
    <row r="82" spans="2:25" x14ac:dyDescent="0.3">
      <c r="B82" s="33"/>
      <c r="C82" s="33"/>
      <c r="D82" s="33" t="s">
        <v>69</v>
      </c>
      <c r="E82" s="33"/>
      <c r="F82" s="36">
        <f>J76+X76+P80</f>
        <v>876.74729166666657</v>
      </c>
      <c r="G82" s="33"/>
      <c r="H82" s="33" t="s">
        <v>70</v>
      </c>
      <c r="I82" s="33"/>
      <c r="J82" s="39">
        <f>J76+X76+P78</f>
        <v>1069.0822916666666</v>
      </c>
      <c r="K82" s="33"/>
      <c r="L82" s="33" t="s">
        <v>71</v>
      </c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2:25" x14ac:dyDescent="0.3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</row>
    <row r="84" spans="2:25" x14ac:dyDescent="0.3">
      <c r="B84" s="33" t="s">
        <v>120</v>
      </c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</row>
    <row r="85" spans="2:25" s="26" customFormat="1" x14ac:dyDescent="0.3"/>
    <row r="86" spans="2:25" x14ac:dyDescent="0.3"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4" t="s">
        <v>51</v>
      </c>
    </row>
    <row r="87" spans="2:25" x14ac:dyDescent="0.3">
      <c r="B87" s="35" t="s">
        <v>119</v>
      </c>
      <c r="C87" s="33"/>
      <c r="D87" s="35" t="s">
        <v>14</v>
      </c>
      <c r="E87" s="35"/>
      <c r="F87" s="33"/>
      <c r="G87" s="33"/>
      <c r="H87" s="33"/>
      <c r="I87" s="33"/>
      <c r="J87" s="36">
        <f>J69</f>
        <v>370.375</v>
      </c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6">
        <f>X69</f>
        <v>140.68906250000001</v>
      </c>
      <c r="Y87" s="36">
        <f>J87+X87</f>
        <v>511.06406249999998</v>
      </c>
    </row>
    <row r="88" spans="2:25" x14ac:dyDescent="0.3">
      <c r="B88" s="33"/>
      <c r="C88" s="33"/>
      <c r="D88" s="35" t="s">
        <v>67</v>
      </c>
      <c r="E88" s="35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6">
        <f>P69+R69</f>
        <v>8718</v>
      </c>
      <c r="Q88" s="33"/>
      <c r="R88" s="33"/>
      <c r="S88" s="33"/>
      <c r="T88" s="33"/>
      <c r="U88" s="33"/>
      <c r="V88" s="33"/>
      <c r="W88" s="33"/>
      <c r="X88" s="33"/>
      <c r="Y88" s="36">
        <f>P88</f>
        <v>8718</v>
      </c>
    </row>
    <row r="89" spans="2:25" x14ac:dyDescent="0.3">
      <c r="B89" s="33"/>
      <c r="C89" s="33"/>
      <c r="D89" s="35" t="s">
        <v>68</v>
      </c>
      <c r="E89" s="35"/>
      <c r="F89" s="37">
        <v>30</v>
      </c>
      <c r="G89" s="33"/>
      <c r="H89" s="33"/>
      <c r="I89" s="33"/>
      <c r="J89" s="33"/>
      <c r="K89" s="33"/>
      <c r="L89" s="33"/>
      <c r="M89" s="33"/>
      <c r="N89" s="33"/>
      <c r="O89" s="33"/>
      <c r="P89" s="38">
        <f>$P$88/F89</f>
        <v>290.60000000000002</v>
      </c>
      <c r="Q89" s="33"/>
      <c r="R89" s="33"/>
      <c r="S89" s="33"/>
      <c r="T89" s="33"/>
      <c r="U89" s="33"/>
      <c r="V89" s="33"/>
      <c r="W89" s="33"/>
      <c r="X89" s="33"/>
      <c r="Y89" s="33"/>
    </row>
    <row r="90" spans="2:25" x14ac:dyDescent="0.3">
      <c r="B90" s="33"/>
      <c r="C90" s="33"/>
      <c r="D90" s="33"/>
      <c r="E90" s="33"/>
      <c r="F90" s="37">
        <v>100</v>
      </c>
      <c r="G90" s="33"/>
      <c r="H90" s="33"/>
      <c r="I90" s="33"/>
      <c r="J90" s="33"/>
      <c r="K90" s="33"/>
      <c r="L90" s="33"/>
      <c r="M90" s="33"/>
      <c r="N90" s="33"/>
      <c r="O90" s="33"/>
      <c r="P90" s="38">
        <f t="shared" ref="P90:P91" si="5">$P$88/F90</f>
        <v>87.18</v>
      </c>
      <c r="Q90" s="33"/>
      <c r="R90" s="33"/>
      <c r="S90" s="33"/>
      <c r="T90" s="33"/>
      <c r="U90" s="33"/>
      <c r="V90" s="33"/>
      <c r="W90" s="33"/>
      <c r="X90" s="33"/>
      <c r="Y90" s="33"/>
    </row>
    <row r="91" spans="2:25" x14ac:dyDescent="0.3">
      <c r="B91" s="33"/>
      <c r="C91" s="33"/>
      <c r="D91" s="33"/>
      <c r="E91" s="33"/>
      <c r="F91" s="37">
        <v>1200</v>
      </c>
      <c r="G91" s="33"/>
      <c r="H91" s="33"/>
      <c r="I91" s="33"/>
      <c r="J91" s="33"/>
      <c r="K91" s="33"/>
      <c r="L91" s="33"/>
      <c r="M91" s="33"/>
      <c r="N91" s="33"/>
      <c r="O91" s="33"/>
      <c r="P91" s="38">
        <f t="shared" si="5"/>
        <v>7.2649999999999997</v>
      </c>
      <c r="Q91" s="33"/>
      <c r="R91" s="33"/>
      <c r="S91" s="33"/>
      <c r="T91" s="33"/>
      <c r="U91" s="33"/>
      <c r="V91" s="33"/>
      <c r="W91" s="33"/>
      <c r="X91" s="33"/>
      <c r="Y91" s="33"/>
    </row>
    <row r="92" spans="2:25" x14ac:dyDescent="0.3"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</row>
    <row r="93" spans="2:25" x14ac:dyDescent="0.3">
      <c r="B93" s="33"/>
      <c r="C93" s="33"/>
      <c r="D93" s="33" t="s">
        <v>69</v>
      </c>
      <c r="E93" s="33"/>
      <c r="F93" s="36">
        <f>J87+X87+P91</f>
        <v>518.32906249999996</v>
      </c>
      <c r="G93" s="33"/>
      <c r="H93" s="33" t="s">
        <v>70</v>
      </c>
      <c r="I93" s="33"/>
      <c r="J93" s="39">
        <f>J87+X87+P89</f>
        <v>801.6640625</v>
      </c>
      <c r="K93" s="33"/>
      <c r="L93" s="33" t="s">
        <v>71</v>
      </c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</row>
    <row r="94" spans="2:25" x14ac:dyDescent="0.3"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</row>
    <row r="95" spans="2:25" x14ac:dyDescent="0.3">
      <c r="B95" s="33" t="s">
        <v>121</v>
      </c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</row>
    <row r="97" spans="2:25" x14ac:dyDescent="0.3"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75" t="s">
        <v>51</v>
      </c>
    </row>
    <row r="98" spans="2:25" x14ac:dyDescent="0.3">
      <c r="B98" s="53" t="s">
        <v>74</v>
      </c>
      <c r="C98" s="64"/>
      <c r="D98" s="53" t="s">
        <v>14</v>
      </c>
      <c r="E98" s="53"/>
      <c r="F98" s="64"/>
      <c r="G98" s="64"/>
      <c r="H98" s="64"/>
      <c r="I98" s="64"/>
      <c r="J98" s="76">
        <f>J70</f>
        <v>280.72500000000002</v>
      </c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76">
        <f>X70</f>
        <v>482.54062500000003</v>
      </c>
      <c r="Y98" s="76">
        <f>J98+X98</f>
        <v>763.265625</v>
      </c>
    </row>
    <row r="99" spans="2:25" x14ac:dyDescent="0.3">
      <c r="B99" s="64"/>
      <c r="C99" s="64"/>
      <c r="D99" s="53" t="s">
        <v>67</v>
      </c>
      <c r="E99" s="53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76">
        <f>N70+R70</f>
        <v>8718</v>
      </c>
      <c r="Q99" s="64"/>
      <c r="R99" s="64"/>
      <c r="S99" s="64"/>
      <c r="T99" s="64"/>
      <c r="U99" s="64"/>
      <c r="V99" s="64"/>
      <c r="W99" s="64"/>
      <c r="X99" s="64"/>
      <c r="Y99" s="76">
        <f>P99</f>
        <v>8718</v>
      </c>
    </row>
    <row r="100" spans="2:25" x14ac:dyDescent="0.3">
      <c r="B100" s="64"/>
      <c r="C100" s="64"/>
      <c r="D100" s="53" t="s">
        <v>68</v>
      </c>
      <c r="E100" s="53"/>
      <c r="F100" s="77">
        <v>30</v>
      </c>
      <c r="G100" s="64"/>
      <c r="H100" s="64"/>
      <c r="I100" s="64"/>
      <c r="J100" s="64"/>
      <c r="K100" s="64"/>
      <c r="L100" s="64"/>
      <c r="M100" s="64"/>
      <c r="N100" s="64"/>
      <c r="O100" s="64"/>
      <c r="P100" s="78">
        <f>$P$99/F100</f>
        <v>290.60000000000002</v>
      </c>
      <c r="Q100" s="64"/>
      <c r="R100" s="64"/>
      <c r="S100" s="64"/>
      <c r="T100" s="64"/>
      <c r="U100" s="64"/>
      <c r="V100" s="64"/>
      <c r="W100" s="64"/>
      <c r="X100" s="64"/>
      <c r="Y100" s="64"/>
    </row>
    <row r="101" spans="2:25" x14ac:dyDescent="0.3">
      <c r="B101" s="64"/>
      <c r="C101" s="64"/>
      <c r="D101" s="64"/>
      <c r="E101" s="64"/>
      <c r="F101" s="77">
        <v>100</v>
      </c>
      <c r="G101" s="64"/>
      <c r="H101" s="64"/>
      <c r="I101" s="64"/>
      <c r="J101" s="64"/>
      <c r="K101" s="64"/>
      <c r="L101" s="64"/>
      <c r="M101" s="64"/>
      <c r="N101" s="64"/>
      <c r="O101" s="64"/>
      <c r="P101" s="78">
        <f>$P$99/F101</f>
        <v>87.18</v>
      </c>
      <c r="Q101" s="64"/>
      <c r="R101" s="64"/>
      <c r="S101" s="64"/>
      <c r="T101" s="64"/>
      <c r="U101" s="64"/>
      <c r="V101" s="64"/>
      <c r="W101" s="64"/>
      <c r="X101" s="64"/>
      <c r="Y101" s="64"/>
    </row>
    <row r="102" spans="2:25" x14ac:dyDescent="0.3">
      <c r="B102" s="64"/>
      <c r="C102" s="64"/>
      <c r="D102" s="64"/>
      <c r="E102" s="64"/>
      <c r="F102" s="77">
        <v>1200</v>
      </c>
      <c r="G102" s="64"/>
      <c r="H102" s="64"/>
      <c r="I102" s="64"/>
      <c r="J102" s="64"/>
      <c r="K102" s="64"/>
      <c r="L102" s="64"/>
      <c r="M102" s="64"/>
      <c r="N102" s="64"/>
      <c r="O102" s="64"/>
      <c r="P102" s="78">
        <f>$P$99/F102</f>
        <v>7.2649999999999997</v>
      </c>
      <c r="Q102" s="64"/>
      <c r="R102" s="64"/>
      <c r="S102" s="64"/>
      <c r="T102" s="64"/>
      <c r="U102" s="64"/>
      <c r="V102" s="64"/>
      <c r="W102" s="64"/>
      <c r="X102" s="64"/>
      <c r="Y102" s="64"/>
    </row>
    <row r="103" spans="2:25" x14ac:dyDescent="0.3"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</row>
    <row r="104" spans="2:25" x14ac:dyDescent="0.3">
      <c r="B104" s="64"/>
      <c r="C104" s="64"/>
      <c r="D104" s="64" t="s">
        <v>69</v>
      </c>
      <c r="E104" s="64"/>
      <c r="F104" s="76">
        <f>J98+X98+P102</f>
        <v>770.53062499999999</v>
      </c>
      <c r="G104" s="64"/>
      <c r="H104" s="64" t="s">
        <v>70</v>
      </c>
      <c r="I104" s="64"/>
      <c r="J104" s="79">
        <f>J98+X98+P100</f>
        <v>1053.8656249999999</v>
      </c>
      <c r="K104" s="64"/>
      <c r="L104" s="64" t="s">
        <v>71</v>
      </c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</row>
    <row r="105" spans="2:25" x14ac:dyDescent="0.3"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</row>
    <row r="106" spans="2:25" x14ac:dyDescent="0.3">
      <c r="B106" s="64" t="s">
        <v>76</v>
      </c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</row>
    <row r="108" spans="2:25" x14ac:dyDescent="0.3"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75" t="s">
        <v>51</v>
      </c>
    </row>
    <row r="109" spans="2:25" x14ac:dyDescent="0.3">
      <c r="B109" s="53" t="s">
        <v>127</v>
      </c>
      <c r="C109" s="64"/>
      <c r="D109" s="53" t="s">
        <v>14</v>
      </c>
      <c r="E109" s="53"/>
      <c r="F109" s="64"/>
      <c r="G109" s="64"/>
      <c r="H109" s="64"/>
      <c r="I109" s="64"/>
      <c r="J109" s="76">
        <f>J71</f>
        <v>242.25</v>
      </c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76">
        <f>X71</f>
        <v>140.68906250000001</v>
      </c>
      <c r="Y109" s="76">
        <f>J109+X109</f>
        <v>382.93906249999998</v>
      </c>
    </row>
    <row r="110" spans="2:25" x14ac:dyDescent="0.3">
      <c r="B110" s="64"/>
      <c r="C110" s="64"/>
      <c r="D110" s="53" t="s">
        <v>67</v>
      </c>
      <c r="E110" s="53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76">
        <f>N71+R71</f>
        <v>8718</v>
      </c>
      <c r="Q110" s="64"/>
      <c r="R110" s="64"/>
      <c r="S110" s="64"/>
      <c r="T110" s="64"/>
      <c r="U110" s="64"/>
      <c r="V110" s="64"/>
      <c r="W110" s="64"/>
      <c r="X110" s="64"/>
      <c r="Y110" s="76">
        <f>P110</f>
        <v>8718</v>
      </c>
    </row>
    <row r="111" spans="2:25" x14ac:dyDescent="0.3">
      <c r="B111" s="64"/>
      <c r="C111" s="64"/>
      <c r="D111" s="53" t="s">
        <v>68</v>
      </c>
      <c r="E111" s="53"/>
      <c r="F111" s="77">
        <v>30</v>
      </c>
      <c r="G111" s="64"/>
      <c r="H111" s="64"/>
      <c r="I111" s="64"/>
      <c r="J111" s="64"/>
      <c r="K111" s="64"/>
      <c r="L111" s="64"/>
      <c r="M111" s="64"/>
      <c r="N111" s="64"/>
      <c r="O111" s="64"/>
      <c r="P111" s="78">
        <f>$P$110/F111</f>
        <v>290.60000000000002</v>
      </c>
      <c r="Q111" s="64"/>
      <c r="R111" s="64"/>
      <c r="S111" s="64"/>
      <c r="T111" s="64"/>
      <c r="U111" s="64"/>
      <c r="V111" s="64"/>
      <c r="W111" s="64"/>
      <c r="X111" s="64"/>
      <c r="Y111" s="64"/>
    </row>
    <row r="112" spans="2:25" x14ac:dyDescent="0.3">
      <c r="B112" s="64"/>
      <c r="C112" s="64"/>
      <c r="D112" s="64"/>
      <c r="E112" s="64"/>
      <c r="F112" s="77">
        <v>100</v>
      </c>
      <c r="G112" s="64"/>
      <c r="H112" s="64"/>
      <c r="I112" s="64"/>
      <c r="J112" s="64"/>
      <c r="K112" s="64"/>
      <c r="L112" s="64"/>
      <c r="M112" s="64"/>
      <c r="N112" s="64"/>
      <c r="O112" s="64"/>
      <c r="P112" s="78">
        <f t="shared" ref="P112:P113" si="6">$P$110/F112</f>
        <v>87.18</v>
      </c>
      <c r="Q112" s="64"/>
      <c r="R112" s="64"/>
      <c r="S112" s="64"/>
      <c r="T112" s="64"/>
      <c r="U112" s="64"/>
      <c r="V112" s="64"/>
      <c r="W112" s="64"/>
      <c r="X112" s="64"/>
      <c r="Y112" s="64"/>
    </row>
    <row r="113" spans="2:25" x14ac:dyDescent="0.3">
      <c r="B113" s="64"/>
      <c r="C113" s="64"/>
      <c r="D113" s="64"/>
      <c r="E113" s="64"/>
      <c r="F113" s="77">
        <v>1200</v>
      </c>
      <c r="G113" s="64"/>
      <c r="H113" s="64"/>
      <c r="I113" s="64"/>
      <c r="J113" s="64"/>
      <c r="K113" s="64"/>
      <c r="L113" s="64"/>
      <c r="M113" s="64"/>
      <c r="N113" s="64"/>
      <c r="O113" s="64"/>
      <c r="P113" s="78">
        <f t="shared" si="6"/>
        <v>7.2649999999999997</v>
      </c>
      <c r="Q113" s="64"/>
      <c r="R113" s="64"/>
      <c r="S113" s="64"/>
      <c r="T113" s="64"/>
      <c r="U113" s="64"/>
      <c r="V113" s="64"/>
      <c r="W113" s="64"/>
      <c r="X113" s="64"/>
      <c r="Y113" s="64"/>
    </row>
    <row r="114" spans="2:25" x14ac:dyDescent="0.3"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</row>
    <row r="115" spans="2:25" x14ac:dyDescent="0.3">
      <c r="B115" s="64"/>
      <c r="C115" s="64"/>
      <c r="D115" s="64" t="s">
        <v>69</v>
      </c>
      <c r="E115" s="64"/>
      <c r="F115" s="76">
        <f>J109+X109+P113</f>
        <v>390.20406249999996</v>
      </c>
      <c r="G115" s="64"/>
      <c r="H115" s="64" t="s">
        <v>70</v>
      </c>
      <c r="I115" s="64"/>
      <c r="J115" s="79">
        <f>J109+X109+P111</f>
        <v>673.5390625</v>
      </c>
      <c r="K115" s="64"/>
      <c r="L115" s="64" t="s">
        <v>71</v>
      </c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</row>
    <row r="116" spans="2:25" x14ac:dyDescent="0.3"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</row>
    <row r="117" spans="2:25" x14ac:dyDescent="0.3">
      <c r="B117" s="64" t="s">
        <v>128</v>
      </c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</row>
    <row r="118" spans="2:25" s="26" customFormat="1" x14ac:dyDescent="0.3"/>
    <row r="119" spans="2:25" x14ac:dyDescent="0.3"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1" t="s">
        <v>51</v>
      </c>
    </row>
    <row r="120" spans="2:25" x14ac:dyDescent="0.3">
      <c r="B120" s="82" t="s">
        <v>80</v>
      </c>
      <c r="C120" s="80"/>
      <c r="D120" s="82" t="s">
        <v>14</v>
      </c>
      <c r="E120" s="82"/>
      <c r="F120" s="80"/>
      <c r="G120" s="80"/>
      <c r="H120" s="80"/>
      <c r="I120" s="80"/>
      <c r="J120" s="83">
        <f>J72</f>
        <v>141.05000000000001</v>
      </c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3">
        <f>X72</f>
        <v>49.121679687499999</v>
      </c>
      <c r="Y120" s="83">
        <f>J120+X120</f>
        <v>190.17167968750002</v>
      </c>
    </row>
    <row r="121" spans="2:25" x14ac:dyDescent="0.3">
      <c r="B121" s="80"/>
      <c r="C121" s="80"/>
      <c r="D121" s="82" t="s">
        <v>67</v>
      </c>
      <c r="E121" s="82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3">
        <f>P72+T72</f>
        <v>4718</v>
      </c>
      <c r="Q121" s="80"/>
      <c r="R121" s="80"/>
      <c r="S121" s="80"/>
      <c r="T121" s="80"/>
      <c r="U121" s="80"/>
      <c r="V121" s="80"/>
      <c r="W121" s="80"/>
      <c r="X121" s="80"/>
      <c r="Y121" s="83">
        <f>P121</f>
        <v>4718</v>
      </c>
    </row>
    <row r="122" spans="2:25" x14ac:dyDescent="0.3">
      <c r="B122" s="80"/>
      <c r="C122" s="80"/>
      <c r="D122" s="82" t="s">
        <v>68</v>
      </c>
      <c r="E122" s="82"/>
      <c r="F122" s="84">
        <v>30</v>
      </c>
      <c r="G122" s="80"/>
      <c r="H122" s="80"/>
      <c r="I122" s="80"/>
      <c r="J122" s="80"/>
      <c r="K122" s="80"/>
      <c r="L122" s="80"/>
      <c r="M122" s="80"/>
      <c r="N122" s="80"/>
      <c r="O122" s="80"/>
      <c r="P122" s="85">
        <f>$P$121/F122</f>
        <v>157.26666666666668</v>
      </c>
      <c r="Q122" s="80"/>
      <c r="R122" s="80"/>
      <c r="S122" s="80"/>
      <c r="T122" s="80"/>
      <c r="U122" s="80"/>
      <c r="V122" s="80"/>
      <c r="W122" s="80"/>
      <c r="X122" s="80"/>
      <c r="Y122" s="80"/>
    </row>
    <row r="123" spans="2:25" x14ac:dyDescent="0.3">
      <c r="B123" s="80"/>
      <c r="C123" s="80"/>
      <c r="D123" s="80"/>
      <c r="E123" s="80"/>
      <c r="F123" s="84">
        <v>100</v>
      </c>
      <c r="G123" s="80"/>
      <c r="H123" s="80"/>
      <c r="I123" s="80"/>
      <c r="J123" s="80"/>
      <c r="K123" s="80"/>
      <c r="L123" s="80"/>
      <c r="M123" s="80"/>
      <c r="N123" s="80"/>
      <c r="O123" s="80"/>
      <c r="P123" s="85">
        <f t="shared" ref="P123:P124" si="7">$P$121/F123</f>
        <v>47.18</v>
      </c>
      <c r="Q123" s="80"/>
      <c r="R123" s="80"/>
      <c r="S123" s="80"/>
      <c r="T123" s="80"/>
      <c r="U123" s="80"/>
      <c r="V123" s="80"/>
      <c r="W123" s="80"/>
      <c r="X123" s="80"/>
      <c r="Y123" s="80"/>
    </row>
    <row r="124" spans="2:25" x14ac:dyDescent="0.3">
      <c r="B124" s="80"/>
      <c r="C124" s="80"/>
      <c r="D124" s="80"/>
      <c r="E124" s="80"/>
      <c r="F124" s="84">
        <v>1200</v>
      </c>
      <c r="G124" s="80"/>
      <c r="H124" s="80"/>
      <c r="I124" s="80"/>
      <c r="J124" s="80"/>
      <c r="K124" s="80"/>
      <c r="L124" s="80"/>
      <c r="M124" s="80"/>
      <c r="N124" s="80"/>
      <c r="O124" s="80"/>
      <c r="P124" s="85">
        <f t="shared" si="7"/>
        <v>3.9316666666666666</v>
      </c>
      <c r="Q124" s="80"/>
      <c r="R124" s="80"/>
      <c r="S124" s="80"/>
      <c r="T124" s="80"/>
      <c r="U124" s="80"/>
      <c r="V124" s="80"/>
      <c r="W124" s="80"/>
      <c r="X124" s="80"/>
      <c r="Y124" s="80"/>
    </row>
    <row r="125" spans="2:25" x14ac:dyDescent="0.3"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</row>
    <row r="126" spans="2:25" x14ac:dyDescent="0.3">
      <c r="B126" s="80"/>
      <c r="C126" s="80"/>
      <c r="D126" s="80" t="s">
        <v>69</v>
      </c>
      <c r="E126" s="80"/>
      <c r="F126" s="83">
        <f>J120+X120+P124</f>
        <v>194.10334635416669</v>
      </c>
      <c r="G126" s="80"/>
      <c r="H126" s="80" t="s">
        <v>70</v>
      </c>
      <c r="I126" s="80"/>
      <c r="J126" s="86">
        <f>J120+X120+P122</f>
        <v>347.4383463541667</v>
      </c>
      <c r="K126" s="80"/>
      <c r="L126" s="80" t="s">
        <v>71</v>
      </c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</row>
    <row r="127" spans="2:25" x14ac:dyDescent="0.3"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</row>
    <row r="128" spans="2:25" x14ac:dyDescent="0.3">
      <c r="B128" s="80" t="s">
        <v>114</v>
      </c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</row>
    <row r="130" spans="2:25" x14ac:dyDescent="0.3"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1" t="s">
        <v>51</v>
      </c>
    </row>
    <row r="131" spans="2:25" x14ac:dyDescent="0.3">
      <c r="B131" s="82" t="s">
        <v>115</v>
      </c>
      <c r="C131" s="80"/>
      <c r="D131" s="82" t="s">
        <v>14</v>
      </c>
      <c r="E131" s="82"/>
      <c r="F131" s="80"/>
      <c r="G131" s="80"/>
      <c r="H131" s="80"/>
      <c r="I131" s="80"/>
      <c r="J131" s="83">
        <f>J73</f>
        <v>369.52499999999998</v>
      </c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3">
        <f>X73</f>
        <v>49.121679687499999</v>
      </c>
      <c r="Y131" s="83">
        <f>J131+X131</f>
        <v>418.64667968749995</v>
      </c>
    </row>
    <row r="132" spans="2:25" x14ac:dyDescent="0.3">
      <c r="B132" s="80"/>
      <c r="C132" s="80"/>
      <c r="D132" s="82" t="s">
        <v>67</v>
      </c>
      <c r="E132" s="82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3">
        <f>N73+R73</f>
        <v>4718</v>
      </c>
      <c r="Q132" s="80"/>
      <c r="R132" s="80"/>
      <c r="S132" s="80"/>
      <c r="T132" s="80"/>
      <c r="U132" s="80"/>
      <c r="V132" s="80"/>
      <c r="W132" s="80"/>
      <c r="X132" s="80"/>
      <c r="Y132" s="83">
        <f>P132</f>
        <v>4718</v>
      </c>
    </row>
    <row r="133" spans="2:25" x14ac:dyDescent="0.3">
      <c r="B133" s="80"/>
      <c r="C133" s="80"/>
      <c r="D133" s="82" t="s">
        <v>68</v>
      </c>
      <c r="E133" s="82"/>
      <c r="F133" s="84">
        <v>30</v>
      </c>
      <c r="G133" s="80"/>
      <c r="H133" s="80"/>
      <c r="I133" s="80"/>
      <c r="J133" s="80"/>
      <c r="K133" s="80"/>
      <c r="L133" s="80"/>
      <c r="M133" s="80"/>
      <c r="N133" s="80"/>
      <c r="O133" s="80"/>
      <c r="P133" s="85">
        <f>$P$132/F133</f>
        <v>157.26666666666668</v>
      </c>
      <c r="Q133" s="80"/>
      <c r="R133" s="80"/>
      <c r="S133" s="80"/>
      <c r="T133" s="80"/>
      <c r="U133" s="80"/>
      <c r="V133" s="80"/>
      <c r="W133" s="80"/>
      <c r="X133" s="80"/>
      <c r="Y133" s="80"/>
    </row>
    <row r="134" spans="2:25" x14ac:dyDescent="0.3">
      <c r="B134" s="80"/>
      <c r="C134" s="80"/>
      <c r="D134" s="80"/>
      <c r="E134" s="80"/>
      <c r="F134" s="84">
        <v>100</v>
      </c>
      <c r="G134" s="80"/>
      <c r="H134" s="80"/>
      <c r="I134" s="80"/>
      <c r="J134" s="80"/>
      <c r="K134" s="80"/>
      <c r="L134" s="80"/>
      <c r="M134" s="80"/>
      <c r="N134" s="80"/>
      <c r="O134" s="80"/>
      <c r="P134" s="85">
        <f t="shared" ref="P134:P135" si="8">$P$132/F134</f>
        <v>47.18</v>
      </c>
      <c r="Q134" s="80"/>
      <c r="R134" s="80"/>
      <c r="S134" s="80"/>
      <c r="T134" s="80"/>
      <c r="U134" s="80"/>
      <c r="V134" s="80"/>
      <c r="W134" s="80"/>
      <c r="X134" s="80"/>
      <c r="Y134" s="80"/>
    </row>
    <row r="135" spans="2:25" x14ac:dyDescent="0.3">
      <c r="B135" s="80"/>
      <c r="C135" s="80"/>
      <c r="D135" s="80"/>
      <c r="E135" s="80"/>
      <c r="F135" s="84">
        <v>1200</v>
      </c>
      <c r="G135" s="80"/>
      <c r="H135" s="80"/>
      <c r="I135" s="80"/>
      <c r="J135" s="80"/>
      <c r="K135" s="80"/>
      <c r="L135" s="80"/>
      <c r="M135" s="80"/>
      <c r="N135" s="80"/>
      <c r="O135" s="80"/>
      <c r="P135" s="85">
        <f t="shared" si="8"/>
        <v>3.9316666666666666</v>
      </c>
      <c r="Q135" s="80"/>
      <c r="R135" s="80"/>
      <c r="S135" s="80"/>
      <c r="T135" s="80"/>
      <c r="U135" s="80"/>
      <c r="V135" s="80"/>
      <c r="W135" s="80"/>
      <c r="X135" s="80"/>
      <c r="Y135" s="80"/>
    </row>
    <row r="136" spans="2:25" x14ac:dyDescent="0.3"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</row>
    <row r="137" spans="2:25" x14ac:dyDescent="0.3">
      <c r="B137" s="80"/>
      <c r="C137" s="80"/>
      <c r="D137" s="80" t="s">
        <v>69</v>
      </c>
      <c r="E137" s="80"/>
      <c r="F137" s="83">
        <f>J131+X131+P135</f>
        <v>422.57834635416663</v>
      </c>
      <c r="G137" s="80"/>
      <c r="H137" s="80" t="s">
        <v>70</v>
      </c>
      <c r="I137" s="80"/>
      <c r="J137" s="86">
        <f>J131+X131+P133</f>
        <v>575.91334635416661</v>
      </c>
      <c r="K137" s="80"/>
      <c r="L137" s="80" t="s">
        <v>71</v>
      </c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</row>
    <row r="138" spans="2:25" x14ac:dyDescent="0.3"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</row>
    <row r="139" spans="2:25" x14ac:dyDescent="0.3">
      <c r="B139" s="80" t="s">
        <v>116</v>
      </c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</row>
  </sheetData>
  <mergeCells count="28">
    <mergeCell ref="F56:I56"/>
    <mergeCell ref="J56:M56"/>
    <mergeCell ref="W56:X56"/>
    <mergeCell ref="F57:I57"/>
    <mergeCell ref="J57:M57"/>
    <mergeCell ref="N57:Q57"/>
    <mergeCell ref="S57:U57"/>
    <mergeCell ref="F36:I36"/>
    <mergeCell ref="J36:M36"/>
    <mergeCell ref="N36:Q36"/>
    <mergeCell ref="S36:U36"/>
    <mergeCell ref="F55:M55"/>
    <mergeCell ref="N55:U55"/>
    <mergeCell ref="Y11:AD11"/>
    <mergeCell ref="F34:M34"/>
    <mergeCell ref="N34:U34"/>
    <mergeCell ref="F35:I35"/>
    <mergeCell ref="J35:M35"/>
    <mergeCell ref="W35:X35"/>
    <mergeCell ref="F11:I11"/>
    <mergeCell ref="J11:M11"/>
    <mergeCell ref="N11:Q11"/>
    <mergeCell ref="S11:U11"/>
    <mergeCell ref="F9:M9"/>
    <mergeCell ref="N9:U9"/>
    <mergeCell ref="F10:I10"/>
    <mergeCell ref="J10:M10"/>
    <mergeCell ref="W10:X10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6E7E5-8AF9-4020-9DB3-0A09BF6895DD}">
  <dimension ref="A1:I7"/>
  <sheetViews>
    <sheetView workbookViewId="0">
      <selection activeCell="E3" sqref="E3"/>
    </sheetView>
  </sheetViews>
  <sheetFormatPr baseColWidth="10" defaultRowHeight="14.4" x14ac:dyDescent="0.3"/>
  <cols>
    <col min="4" max="5" width="12.5546875" customWidth="1"/>
    <col min="6" max="6" width="11.5546875" customWidth="1"/>
    <col min="9" max="9" width="9" customWidth="1"/>
  </cols>
  <sheetData>
    <row r="1" spans="1:9" ht="21" x14ac:dyDescent="0.4">
      <c r="A1" s="13" t="s">
        <v>52</v>
      </c>
    </row>
    <row r="2" spans="1:9" x14ac:dyDescent="0.3">
      <c r="A2" t="s">
        <v>60</v>
      </c>
    </row>
    <row r="3" spans="1:9" x14ac:dyDescent="0.3">
      <c r="A3" s="2" t="s">
        <v>53</v>
      </c>
      <c r="B3" s="2"/>
      <c r="C3" s="105" t="s">
        <v>83</v>
      </c>
      <c r="D3" s="105"/>
      <c r="E3" s="19" t="s">
        <v>84</v>
      </c>
      <c r="F3" s="105" t="s">
        <v>56</v>
      </c>
      <c r="G3" s="105"/>
      <c r="H3" s="2" t="s">
        <v>61</v>
      </c>
      <c r="I3" s="19" t="s">
        <v>82</v>
      </c>
    </row>
    <row r="4" spans="1:9" x14ac:dyDescent="0.3">
      <c r="A4" s="2"/>
      <c r="B4" s="2"/>
      <c r="C4" s="9" t="s">
        <v>57</v>
      </c>
      <c r="D4" s="9" t="s">
        <v>58</v>
      </c>
      <c r="E4" s="9" t="s">
        <v>59</v>
      </c>
      <c r="F4" s="9" t="str">
        <f>"+ 25%"</f>
        <v>+ 25%</v>
      </c>
      <c r="G4" s="9" t="s">
        <v>51</v>
      </c>
      <c r="H4" s="11" t="str">
        <f>"+ 33%"</f>
        <v>+ 33%</v>
      </c>
      <c r="I4" s="9" t="s">
        <v>62</v>
      </c>
    </row>
    <row r="5" spans="1:9" x14ac:dyDescent="0.3">
      <c r="A5" s="2"/>
      <c r="B5" s="2"/>
      <c r="C5" s="9"/>
      <c r="D5" s="9"/>
      <c r="E5" s="9"/>
      <c r="F5" s="9"/>
      <c r="G5" s="2"/>
      <c r="H5" s="2"/>
      <c r="I5" s="2"/>
    </row>
    <row r="6" spans="1:9" x14ac:dyDescent="0.3">
      <c r="A6" t="s">
        <v>54</v>
      </c>
      <c r="C6" s="10">
        <v>3500</v>
      </c>
      <c r="D6" s="10">
        <f>C6*12</f>
        <v>42000</v>
      </c>
      <c r="E6" s="10">
        <v>5000</v>
      </c>
      <c r="F6" s="10">
        <f>25%*(E6+D6)</f>
        <v>11750</v>
      </c>
      <c r="G6" s="10">
        <f>(D6+E6)*125%</f>
        <v>58750</v>
      </c>
      <c r="H6" s="10">
        <f>G6+0.33*G6</f>
        <v>78137.5</v>
      </c>
      <c r="I6" s="12">
        <f>H6/(12*4*40)</f>
        <v>40.696614583333336</v>
      </c>
    </row>
    <row r="7" spans="1:9" x14ac:dyDescent="0.3">
      <c r="A7" t="s">
        <v>55</v>
      </c>
      <c r="C7" s="10">
        <v>2800</v>
      </c>
      <c r="D7" s="10">
        <f>C7*12</f>
        <v>33600</v>
      </c>
      <c r="E7" s="10">
        <v>3000</v>
      </c>
      <c r="F7" s="10">
        <f>25%*(E7+D7)</f>
        <v>9150</v>
      </c>
      <c r="G7" s="10">
        <f>(D7+E7)*125%</f>
        <v>45750</v>
      </c>
      <c r="H7" s="10">
        <f>G7+0.33*G7</f>
        <v>60847.5</v>
      </c>
      <c r="I7" s="12">
        <f>H7/(12*4*40)</f>
        <v>31.69140625</v>
      </c>
    </row>
  </sheetData>
  <mergeCells count="2">
    <mergeCell ref="C3:D3"/>
    <mergeCell ref="F3:G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BEDFF-2C29-44BD-9480-29B8080A052E}">
  <dimension ref="B1:M5"/>
  <sheetViews>
    <sheetView workbookViewId="0">
      <selection activeCell="H25" sqref="H25"/>
    </sheetView>
  </sheetViews>
  <sheetFormatPr baseColWidth="10" defaultRowHeight="14.4" x14ac:dyDescent="0.3"/>
  <cols>
    <col min="5" max="5" width="13.44140625" bestFit="1" customWidth="1"/>
  </cols>
  <sheetData>
    <row r="1" spans="2:13" x14ac:dyDescent="0.3">
      <c r="C1" s="106" t="s">
        <v>135</v>
      </c>
      <c r="D1" s="106"/>
      <c r="E1" s="106"/>
      <c r="G1" s="106" t="s">
        <v>134</v>
      </c>
      <c r="H1" s="106"/>
      <c r="I1" s="106"/>
      <c r="K1" s="106" t="s">
        <v>133</v>
      </c>
      <c r="L1" s="106"/>
      <c r="M1" s="106"/>
    </row>
    <row r="2" spans="2:13" x14ac:dyDescent="0.3">
      <c r="C2" s="99">
        <v>0.5</v>
      </c>
      <c r="D2" s="99">
        <v>0.9</v>
      </c>
      <c r="E2" s="1" t="s">
        <v>131</v>
      </c>
      <c r="G2" s="99">
        <v>0.5</v>
      </c>
      <c r="H2" s="99">
        <v>0.9</v>
      </c>
      <c r="I2" s="1" t="s">
        <v>131</v>
      </c>
      <c r="K2" s="99">
        <v>0.5</v>
      </c>
      <c r="L2" s="99">
        <v>0.9</v>
      </c>
      <c r="M2" s="1" t="s">
        <v>131</v>
      </c>
    </row>
    <row r="3" spans="2:13" x14ac:dyDescent="0.3">
      <c r="B3" t="s">
        <v>95</v>
      </c>
      <c r="C3" s="12">
        <f>'Cost Calculation'!J25</f>
        <v>57.825000000000003</v>
      </c>
      <c r="D3" s="12">
        <f>'Cost Calculation 90% Rejection'!J25</f>
        <v>73.025000000000006</v>
      </c>
      <c r="E3" s="5">
        <f>(D3-C3)/C3%</f>
        <v>26.286208387375705</v>
      </c>
      <c r="G3" s="12">
        <f>'Cost Calculation'!X25</f>
        <v>240.78830295138891</v>
      </c>
      <c r="H3" s="12">
        <f>'Cost Calculation 90% Rejection'!X25</f>
        <v>433.41894531250006</v>
      </c>
      <c r="I3" s="5">
        <f>(H3-G3)/G3%</f>
        <v>80</v>
      </c>
      <c r="K3" s="12">
        <f>C3+G3</f>
        <v>298.6133029513889</v>
      </c>
      <c r="L3" s="12">
        <f>D3+H3</f>
        <v>506.44394531250009</v>
      </c>
      <c r="M3" s="5">
        <f>(L3-K3)/K3%</f>
        <v>69.598587975480726</v>
      </c>
    </row>
    <row r="4" spans="2:13" x14ac:dyDescent="0.3">
      <c r="B4" t="s">
        <v>129</v>
      </c>
      <c r="C4" s="12">
        <f>'Cost Calculation'!J28</f>
        <v>54.075000000000003</v>
      </c>
      <c r="D4" s="12">
        <f>'Cost Calculation 90% Rejection'!J28</f>
        <v>68.275000000000006</v>
      </c>
      <c r="E4" s="5">
        <f t="shared" ref="E4:E5" si="0">(D4-C4)/C4%</f>
        <v>26.259824318076749</v>
      </c>
      <c r="G4" s="12">
        <f>'Cost Calculation'!X28</f>
        <v>240.78830295138891</v>
      </c>
      <c r="H4" s="12">
        <f>'Cost Calculation 90% Rejection'!X28</f>
        <v>433.41894531250006</v>
      </c>
      <c r="I4" s="5">
        <f t="shared" ref="I4" si="1">(H4-G4)/G4%</f>
        <v>80</v>
      </c>
      <c r="K4" s="12">
        <f t="shared" ref="K4:K5" si="2">C4+G4</f>
        <v>294.8633029513889</v>
      </c>
      <c r="L4" s="12">
        <f t="shared" ref="L4:L5" si="3">D4+H4</f>
        <v>501.69394531250009</v>
      </c>
      <c r="M4" s="5">
        <f t="shared" ref="M4" si="4">(L4-K4)/K4%</f>
        <v>70.144585742230944</v>
      </c>
    </row>
    <row r="5" spans="2:13" x14ac:dyDescent="0.3">
      <c r="B5" t="s">
        <v>130</v>
      </c>
      <c r="C5" s="12">
        <f>'Cost Calculation'!J31</f>
        <v>42.075000000000003</v>
      </c>
      <c r="D5" s="12">
        <f>'Cost Calculation 90% Rejection'!L31</f>
        <v>53.275000000000006</v>
      </c>
      <c r="E5" s="5">
        <f t="shared" si="0"/>
        <v>26.619132501485449</v>
      </c>
      <c r="G5" s="12">
        <v>0</v>
      </c>
      <c r="H5" s="12">
        <v>0</v>
      </c>
      <c r="I5" s="5" t="s">
        <v>132</v>
      </c>
      <c r="K5" s="12">
        <f t="shared" si="2"/>
        <v>42.075000000000003</v>
      </c>
      <c r="L5" s="12">
        <f t="shared" si="3"/>
        <v>53.275000000000006</v>
      </c>
      <c r="M5" s="5" t="s">
        <v>132</v>
      </c>
    </row>
  </sheetData>
  <mergeCells count="3">
    <mergeCell ref="C1:E1"/>
    <mergeCell ref="G1:I1"/>
    <mergeCell ref="K1:M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Cost Calculation</vt:lpstr>
      <vt:lpstr>Cost Calculation 90% Rejection</vt:lpstr>
      <vt:lpstr>Staff Expenses</vt:lpstr>
      <vt:lpstr>Comparison Rejections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Alexander Grossmann</cp:lastModifiedBy>
  <dcterms:created xsi:type="dcterms:W3CDTF">2019-01-11T15:03:03Z</dcterms:created>
  <dcterms:modified xsi:type="dcterms:W3CDTF">2021-04-13T10:49:12Z</dcterms:modified>
</cp:coreProperties>
</file>