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 (Brain Energy Lab)\Everything\Kira\Projects\HCvsV1\data_sortedByAnalysis\zstack_VascularMorphology\PericyteMorphologyAnalysis\confocal\"/>
    </mc:Choice>
  </mc:AlternateContent>
  <xr:revisionPtr revIDLastSave="0" documentId="13_ncr:1_{6007514D-7B09-47FB-8FB0-DAA233421777}" xr6:coauthVersionLast="36" xr6:coauthVersionMax="36" xr10:uidLastSave="{00000000-0000-0000-0000-000000000000}"/>
  <bookViews>
    <workbookView xWindow="0" yWindow="0" windowWidth="19200" windowHeight="11385" xr2:uid="{BFC04DA0-661B-4C6C-9B92-5E3BCB4E3899}"/>
  </bookViews>
  <sheets>
    <sheet name="Analysis" sheetId="5" r:id="rId1"/>
    <sheet name="removedVeins" sheetId="7" r:id="rId2"/>
    <sheet name="removedLowQuality" sheetId="6" r:id="rId3"/>
  </sheets>
  <definedNames>
    <definedName name="_xlnm._FilterDatabase" localSheetId="0" hidden="1">Analysis!$A$1:$P$763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5" i="7" l="1"/>
  <c r="I5" i="7"/>
  <c r="K21" i="7"/>
  <c r="I21" i="7"/>
  <c r="K20" i="7"/>
  <c r="K17" i="7" l="1"/>
  <c r="K16" i="7"/>
  <c r="I16" i="7"/>
  <c r="K13" i="7"/>
  <c r="I13" i="7"/>
  <c r="K11" i="7"/>
  <c r="I11" i="7"/>
  <c r="K10" i="7"/>
  <c r="K9" i="7"/>
  <c r="I9" i="7"/>
  <c r="K8" i="7"/>
  <c r="K7" i="7"/>
  <c r="I7" i="7"/>
  <c r="K6" i="7"/>
  <c r="I6" i="7"/>
  <c r="K4" i="7"/>
  <c r="I4" i="7"/>
  <c r="I2" i="7"/>
  <c r="T8" i="6" l="1"/>
  <c r="S8" i="6"/>
  <c r="R8" i="6"/>
  <c r="K32" i="6"/>
  <c r="K31" i="6"/>
  <c r="K30" i="6"/>
  <c r="K29" i="6"/>
  <c r="K28" i="6"/>
  <c r="I28" i="6"/>
  <c r="I165" i="5" l="1"/>
  <c r="I109" i="5" l="1"/>
  <c r="I105" i="5"/>
  <c r="I104" i="5"/>
  <c r="I103" i="5"/>
  <c r="I101" i="5"/>
  <c r="I100" i="5"/>
  <c r="I98" i="5"/>
  <c r="I97" i="5"/>
  <c r="I94" i="5"/>
  <c r="I89" i="5"/>
  <c r="I88" i="5"/>
  <c r="I83" i="5"/>
  <c r="I82" i="5"/>
  <c r="I81" i="5"/>
  <c r="I71" i="5"/>
  <c r="I68" i="5"/>
  <c r="I66" i="5"/>
  <c r="I64" i="5"/>
  <c r="I63" i="5"/>
  <c r="I61" i="5"/>
  <c r="I60" i="5"/>
  <c r="I53" i="5"/>
  <c r="I49" i="5"/>
  <c r="I48" i="5"/>
  <c r="I45" i="5"/>
  <c r="I40" i="5"/>
  <c r="I25" i="5" l="1"/>
  <c r="I18" i="5"/>
  <c r="I15" i="5"/>
  <c r="I13" i="5"/>
  <c r="I11" i="5"/>
  <c r="I10" i="5"/>
  <c r="I6" i="5"/>
  <c r="I2" i="5"/>
  <c r="U121" i="5" l="1"/>
  <c r="S123" i="5" s="1"/>
  <c r="U120" i="5"/>
  <c r="T122" i="5" s="1"/>
  <c r="T157" i="5"/>
  <c r="T156" i="5"/>
  <c r="T154" i="5"/>
  <c r="T153" i="5"/>
  <c r="T151" i="5"/>
  <c r="T150" i="5"/>
  <c r="S157" i="5"/>
  <c r="S156" i="5"/>
  <c r="S154" i="5"/>
  <c r="S153" i="5"/>
  <c r="S151" i="5"/>
  <c r="S150" i="5"/>
  <c r="R157" i="5"/>
  <c r="R156" i="5"/>
  <c r="R153" i="5"/>
  <c r="R151" i="5"/>
  <c r="R150" i="5"/>
  <c r="T188" i="5"/>
  <c r="T186" i="5"/>
  <c r="T185" i="5"/>
  <c r="T168" i="5"/>
  <c r="T166" i="5"/>
  <c r="S188" i="5"/>
  <c r="S186" i="5"/>
  <c r="S185" i="5"/>
  <c r="S168" i="5"/>
  <c r="S166" i="5"/>
  <c r="R188" i="5"/>
  <c r="R186" i="5"/>
  <c r="R185" i="5"/>
  <c r="R168" i="5"/>
  <c r="R166" i="5"/>
  <c r="U112" i="5"/>
  <c r="T112" i="5"/>
  <c r="U114" i="5"/>
  <c r="T114" i="5"/>
  <c r="S114" i="5"/>
  <c r="R114" i="5"/>
  <c r="S112" i="5"/>
  <c r="R112" i="5"/>
  <c r="K710" i="5"/>
  <c r="I710" i="5"/>
  <c r="K225" i="5"/>
  <c r="I225" i="5"/>
  <c r="K224" i="5"/>
  <c r="K223" i="5"/>
  <c r="K222" i="5"/>
  <c r="K221" i="5"/>
  <c r="K216" i="5"/>
  <c r="I216" i="5"/>
  <c r="K214" i="5"/>
  <c r="I214" i="5"/>
  <c r="K208" i="5"/>
  <c r="I208" i="5"/>
  <c r="K207" i="5"/>
  <c r="I207" i="5"/>
  <c r="K201" i="5"/>
  <c r="K200" i="5"/>
  <c r="I200" i="5"/>
  <c r="K196" i="5"/>
  <c r="I196" i="5"/>
  <c r="K195" i="5"/>
  <c r="I195" i="5"/>
  <c r="K194" i="5"/>
  <c r="K192" i="5"/>
  <c r="I192" i="5"/>
  <c r="K763" i="5"/>
  <c r="K762" i="5"/>
  <c r="K759" i="5"/>
  <c r="I759" i="5"/>
  <c r="K758" i="5"/>
  <c r="I758" i="5"/>
  <c r="K757" i="5"/>
  <c r="I757" i="5"/>
  <c r="K755" i="5"/>
  <c r="I755" i="5"/>
  <c r="K753" i="5"/>
  <c r="I753" i="5"/>
  <c r="K732" i="5"/>
  <c r="K729" i="5"/>
  <c r="I729" i="5"/>
  <c r="K728" i="5"/>
  <c r="K727" i="5"/>
  <c r="I727" i="5"/>
  <c r="K726" i="5"/>
  <c r="I726" i="5"/>
  <c r="K724" i="5"/>
  <c r="I724" i="5"/>
  <c r="K722" i="5"/>
  <c r="K717" i="5"/>
  <c r="I717" i="5"/>
  <c r="K716" i="5"/>
  <c r="K711" i="5"/>
  <c r="I711" i="5"/>
  <c r="K709" i="5"/>
  <c r="I709" i="5"/>
  <c r="K232" i="5"/>
  <c r="I232" i="5"/>
  <c r="K231" i="5"/>
  <c r="I231" i="5"/>
  <c r="K230" i="5"/>
  <c r="I230" i="5"/>
  <c r="K229" i="5"/>
  <c r="K228" i="5"/>
  <c r="K227" i="5"/>
  <c r="I227" i="5"/>
  <c r="K226" i="5"/>
  <c r="K220" i="5"/>
  <c r="I220" i="5"/>
  <c r="K219" i="5"/>
  <c r="I219" i="5"/>
  <c r="K217" i="5"/>
  <c r="I217" i="5"/>
  <c r="K215" i="5"/>
  <c r="I215" i="5"/>
  <c r="K213" i="5"/>
  <c r="I213" i="5"/>
  <c r="K212" i="5"/>
  <c r="K211" i="5"/>
  <c r="I211" i="5"/>
  <c r="K210" i="5"/>
  <c r="K209" i="5"/>
  <c r="K205" i="5"/>
  <c r="K204" i="5"/>
  <c r="K203" i="5"/>
  <c r="I203" i="5"/>
  <c r="K202" i="5"/>
  <c r="K199" i="5"/>
  <c r="I199" i="5"/>
  <c r="K193" i="5"/>
  <c r="I193" i="5"/>
  <c r="K760" i="5"/>
  <c r="I760" i="5"/>
  <c r="K756" i="5"/>
  <c r="K754" i="5"/>
  <c r="K751" i="5"/>
  <c r="K749" i="5"/>
  <c r="I749" i="5"/>
  <c r="K748" i="5"/>
  <c r="K747" i="5"/>
  <c r="K746" i="5"/>
  <c r="K734" i="5"/>
  <c r="K733" i="5"/>
  <c r="I733" i="5"/>
  <c r="K730" i="5"/>
  <c r="K723" i="5"/>
  <c r="I723" i="5"/>
  <c r="K721" i="5"/>
  <c r="K719" i="5"/>
  <c r="K718" i="5"/>
  <c r="I718" i="5"/>
  <c r="K715" i="5"/>
  <c r="K714" i="5"/>
  <c r="K713" i="5"/>
  <c r="I713" i="5"/>
  <c r="K712" i="5"/>
  <c r="K206" i="5"/>
  <c r="K752" i="5"/>
  <c r="I752" i="5"/>
  <c r="K750" i="5"/>
  <c r="I750" i="5"/>
  <c r="I743" i="5"/>
  <c r="K742" i="5"/>
  <c r="K132" i="5"/>
  <c r="I132" i="5"/>
  <c r="K131" i="5"/>
  <c r="I131" i="5"/>
  <c r="K130" i="5"/>
  <c r="I130" i="5"/>
  <c r="K129" i="5"/>
  <c r="I129" i="5"/>
  <c r="K128" i="5"/>
  <c r="K626" i="5"/>
  <c r="I626" i="5"/>
  <c r="K624" i="5"/>
  <c r="I624" i="5"/>
  <c r="K619" i="5"/>
  <c r="K618" i="5"/>
  <c r="I618" i="5"/>
  <c r="K616" i="5"/>
  <c r="I616" i="5"/>
  <c r="K615" i="5"/>
  <c r="I615" i="5"/>
  <c r="K614" i="5"/>
  <c r="I614" i="5"/>
  <c r="K610" i="5"/>
  <c r="I610" i="5"/>
  <c r="K606" i="5"/>
  <c r="I606" i="5"/>
  <c r="I605" i="5"/>
  <c r="K604" i="5"/>
  <c r="I604" i="5"/>
  <c r="K603" i="5"/>
  <c r="I603" i="5"/>
  <c r="K600" i="5"/>
  <c r="I600" i="5"/>
  <c r="K599" i="5"/>
  <c r="I599" i="5"/>
  <c r="K127" i="5"/>
  <c r="K126" i="5"/>
  <c r="K125" i="5"/>
  <c r="K124" i="5"/>
  <c r="K123" i="5"/>
  <c r="K122" i="5"/>
  <c r="K121" i="5"/>
  <c r="K120" i="5"/>
  <c r="K119" i="5"/>
  <c r="I119" i="5"/>
  <c r="K118" i="5"/>
  <c r="I116" i="5"/>
  <c r="K114" i="5"/>
  <c r="I114" i="5"/>
  <c r="K113" i="5"/>
  <c r="K111" i="5"/>
  <c r="K110" i="5"/>
  <c r="I110" i="5"/>
  <c r="K629" i="5"/>
  <c r="I629" i="5"/>
  <c r="K628" i="5"/>
  <c r="K627" i="5"/>
  <c r="I627" i="5"/>
  <c r="K625" i="5"/>
  <c r="I625" i="5"/>
  <c r="K623" i="5"/>
  <c r="I623" i="5"/>
  <c r="K622" i="5"/>
  <c r="K621" i="5"/>
  <c r="K620" i="5"/>
  <c r="K617" i="5"/>
  <c r="K613" i="5"/>
  <c r="I613" i="5"/>
  <c r="K608" i="5"/>
  <c r="I608" i="5"/>
  <c r="K607" i="5"/>
  <c r="I607" i="5"/>
  <c r="K602" i="5"/>
  <c r="I602" i="5"/>
  <c r="K601" i="5"/>
  <c r="I601" i="5"/>
  <c r="K612" i="5"/>
  <c r="K609" i="5"/>
  <c r="S122" i="5" l="1"/>
  <c r="R123" i="5"/>
  <c r="R122" i="5"/>
  <c r="T123" i="5"/>
  <c r="I708" i="5"/>
  <c r="K708" i="5"/>
  <c r="K707" i="5"/>
  <c r="I707" i="5"/>
  <c r="I706" i="5"/>
  <c r="K706" i="5"/>
  <c r="I703" i="5"/>
  <c r="K702" i="5"/>
  <c r="I702" i="5"/>
  <c r="I701" i="5"/>
  <c r="K701" i="5"/>
  <c r="U122" i="5" l="1"/>
  <c r="U123" i="5"/>
  <c r="K700" i="5"/>
  <c r="I700" i="5"/>
  <c r="K699" i="5"/>
  <c r="I699" i="5"/>
  <c r="K698" i="5"/>
  <c r="K697" i="5" l="1"/>
  <c r="I697" i="5"/>
  <c r="K696" i="5"/>
  <c r="K695" i="5"/>
  <c r="I695" i="5"/>
  <c r="I694" i="5" l="1"/>
  <c r="K694" i="5"/>
  <c r="K693" i="5"/>
  <c r="I693" i="5"/>
  <c r="K692" i="5"/>
  <c r="K691" i="5"/>
  <c r="I691" i="5"/>
  <c r="I690" i="5"/>
  <c r="K690" i="5"/>
  <c r="K689" i="5"/>
  <c r="K688" i="5"/>
  <c r="I688" i="5"/>
  <c r="I687" i="5"/>
  <c r="K687" i="5"/>
  <c r="K686" i="5"/>
  <c r="I686" i="5"/>
  <c r="I685" i="5"/>
  <c r="K685" i="5"/>
  <c r="K684" i="5"/>
  <c r="I683" i="5"/>
  <c r="K683" i="5"/>
  <c r="K682" i="5"/>
  <c r="I682" i="5"/>
  <c r="K681" i="5"/>
  <c r="K680" i="5"/>
  <c r="I680" i="5"/>
  <c r="I679" i="5"/>
  <c r="K679" i="5"/>
  <c r="K678" i="5"/>
  <c r="I678" i="5"/>
  <c r="I677" i="5"/>
  <c r="K677" i="5"/>
  <c r="K676" i="5"/>
  <c r="I676" i="5"/>
  <c r="I675" i="5"/>
  <c r="K675" i="5"/>
  <c r="K674" i="5"/>
  <c r="I673" i="5"/>
  <c r="K673" i="5"/>
  <c r="K672" i="5"/>
  <c r="I672" i="5"/>
  <c r="I671" i="5"/>
  <c r="K671" i="5"/>
  <c r="K670" i="5"/>
  <c r="I670" i="5"/>
  <c r="I669" i="5"/>
  <c r="K669" i="5"/>
  <c r="K668" i="5"/>
  <c r="I668" i="5"/>
  <c r="I667" i="5"/>
  <c r="K667" i="5"/>
  <c r="K666" i="5"/>
  <c r="I666" i="5"/>
  <c r="I665" i="5"/>
  <c r="K665" i="5"/>
  <c r="K664" i="5"/>
  <c r="I663" i="5"/>
  <c r="K663" i="5"/>
  <c r="K662" i="5"/>
  <c r="I661" i="5"/>
  <c r="K661" i="5"/>
  <c r="K660" i="5"/>
  <c r="I660" i="5"/>
  <c r="I659" i="5"/>
  <c r="K659" i="5"/>
  <c r="K658" i="5" l="1"/>
  <c r="I658" i="5"/>
  <c r="I657" i="5"/>
  <c r="K657" i="5"/>
  <c r="I656" i="5"/>
  <c r="I655" i="5"/>
  <c r="K655" i="5"/>
  <c r="K654" i="5"/>
  <c r="K653" i="5"/>
  <c r="I652" i="5" l="1"/>
  <c r="K652" i="5"/>
  <c r="K651" i="5"/>
  <c r="I649" i="5"/>
  <c r="I646" i="5"/>
  <c r="K646" i="5"/>
  <c r="I644" i="5"/>
  <c r="K643" i="5"/>
  <c r="K642" i="5"/>
  <c r="K641" i="5"/>
  <c r="I640" i="5"/>
  <c r="K640" i="5"/>
  <c r="K639" i="5"/>
  <c r="I639" i="5"/>
  <c r="K638" i="5"/>
  <c r="K637" i="5"/>
  <c r="I636" i="5"/>
  <c r="K636" i="5"/>
  <c r="I634" i="5"/>
  <c r="K634" i="5"/>
  <c r="K633" i="5"/>
  <c r="I633" i="5"/>
  <c r="K631" i="5"/>
  <c r="I631" i="5"/>
  <c r="I630" i="5"/>
  <c r="K630" i="5"/>
  <c r="K598" i="5" l="1"/>
  <c r="K597" i="5"/>
  <c r="I597" i="5"/>
  <c r="K596" i="5"/>
  <c r="I596" i="5"/>
  <c r="K595" i="5"/>
  <c r="I595" i="5"/>
  <c r="I594" i="5"/>
  <c r="K594" i="5"/>
  <c r="K593" i="5"/>
  <c r="I593" i="5"/>
  <c r="I592" i="5"/>
  <c r="K592" i="5"/>
  <c r="I591" i="5"/>
  <c r="K591" i="5"/>
  <c r="I590" i="5"/>
  <c r="K590" i="5"/>
  <c r="K589" i="5"/>
  <c r="I589" i="5"/>
  <c r="K588" i="5"/>
  <c r="I588" i="5"/>
  <c r="I587" i="5"/>
  <c r="K587" i="5"/>
  <c r="K586" i="5"/>
  <c r="I586" i="5"/>
  <c r="I585" i="5"/>
  <c r="K585" i="5"/>
  <c r="K584" i="5"/>
  <c r="I583" i="5"/>
  <c r="K583" i="5"/>
  <c r="I581" i="5"/>
  <c r="K581" i="5"/>
  <c r="K580" i="5"/>
  <c r="K579" i="5"/>
  <c r="K578" i="5"/>
  <c r="I577" i="5"/>
  <c r="K577" i="5"/>
  <c r="K576" i="5"/>
  <c r="I575" i="5"/>
  <c r="K575" i="5"/>
  <c r="K574" i="5"/>
  <c r="I574" i="5"/>
  <c r="I573" i="5"/>
  <c r="K573" i="5"/>
  <c r="K572" i="5"/>
  <c r="I572" i="5"/>
  <c r="I571" i="5"/>
  <c r="K571" i="5"/>
  <c r="K570" i="5"/>
  <c r="I570" i="5"/>
  <c r="I569" i="5"/>
  <c r="K569" i="5"/>
  <c r="K568" i="5"/>
  <c r="I568" i="5"/>
  <c r="I567" i="5"/>
  <c r="K567" i="5"/>
  <c r="K566" i="5"/>
  <c r="K565" i="5"/>
  <c r="K564" i="5"/>
  <c r="I564" i="5"/>
  <c r="I563" i="5"/>
  <c r="K563" i="5"/>
  <c r="K562" i="5"/>
  <c r="I561" i="5"/>
  <c r="K561" i="5"/>
  <c r="K560" i="5"/>
  <c r="I559" i="5"/>
  <c r="K559" i="5"/>
  <c r="K558" i="5"/>
  <c r="I558" i="5"/>
  <c r="I557" i="5"/>
  <c r="K557" i="5"/>
  <c r="K556" i="5"/>
  <c r="I556" i="5"/>
  <c r="I555" i="5"/>
  <c r="K555" i="5"/>
  <c r="K554" i="5"/>
  <c r="I554" i="5"/>
  <c r="I553" i="5"/>
  <c r="K553" i="5"/>
  <c r="K552" i="5"/>
  <c r="I552" i="5"/>
  <c r="I551" i="5"/>
  <c r="I550" i="5"/>
  <c r="I549" i="5"/>
  <c r="K549" i="5"/>
  <c r="K548" i="5"/>
  <c r="I548" i="5"/>
  <c r="K547" i="5"/>
  <c r="K546" i="5"/>
  <c r="K545" i="5"/>
  <c r="I545" i="5"/>
  <c r="I544" i="5"/>
  <c r="K544" i="5"/>
  <c r="K543" i="5" l="1"/>
  <c r="K542" i="5"/>
  <c r="I542" i="5"/>
  <c r="I541" i="5"/>
  <c r="K541" i="5"/>
  <c r="K540" i="5"/>
  <c r="I540" i="5"/>
  <c r="K539" i="5"/>
  <c r="I539" i="5"/>
  <c r="I538" i="5"/>
  <c r="K538" i="5"/>
  <c r="K537" i="5"/>
  <c r="I537" i="5"/>
  <c r="K536" i="5"/>
  <c r="K535" i="5"/>
  <c r="I535" i="5"/>
  <c r="I534" i="5"/>
  <c r="K534" i="5"/>
  <c r="K533" i="5"/>
  <c r="I533" i="5"/>
  <c r="I532" i="5"/>
  <c r="K532" i="5"/>
  <c r="K531" i="5"/>
  <c r="I530" i="5"/>
  <c r="K530" i="5"/>
  <c r="K529" i="5"/>
  <c r="K528" i="5"/>
  <c r="K527" i="5"/>
  <c r="I527" i="5"/>
  <c r="I526" i="5"/>
  <c r="K526" i="5"/>
  <c r="K525" i="5"/>
  <c r="I525" i="5"/>
  <c r="I524" i="5"/>
  <c r="K524" i="5"/>
  <c r="I523" i="5" l="1"/>
  <c r="K523" i="5"/>
  <c r="K522" i="5"/>
  <c r="I521" i="5"/>
  <c r="K521" i="5"/>
  <c r="K520" i="5"/>
  <c r="I520" i="5"/>
  <c r="K519" i="5"/>
  <c r="K518" i="5"/>
  <c r="I518" i="5"/>
  <c r="K517" i="5"/>
  <c r="I517" i="5"/>
  <c r="K516" i="5"/>
  <c r="I516" i="5"/>
  <c r="K515" i="5"/>
  <c r="I515" i="5"/>
  <c r="I514" i="5"/>
  <c r="K514" i="5"/>
  <c r="K513" i="5" l="1"/>
  <c r="I512" i="5"/>
  <c r="K512" i="5"/>
  <c r="K511" i="5"/>
  <c r="I511" i="5"/>
  <c r="K510" i="5"/>
  <c r="K509" i="5"/>
  <c r="I508" i="5"/>
  <c r="K508" i="5"/>
  <c r="K507" i="5"/>
  <c r="I507" i="5"/>
  <c r="K506" i="5"/>
  <c r="K505" i="5"/>
  <c r="I505" i="5"/>
  <c r="I504" i="5"/>
  <c r="K504" i="5"/>
  <c r="K503" i="5"/>
  <c r="I503" i="5"/>
  <c r="I502" i="5"/>
  <c r="K502" i="5"/>
  <c r="K501" i="5"/>
  <c r="I501" i="5"/>
  <c r="I500" i="5"/>
  <c r="K500" i="5"/>
  <c r="K499" i="5"/>
  <c r="I499" i="5"/>
  <c r="I498" i="5"/>
  <c r="K498" i="5"/>
  <c r="K497" i="5"/>
  <c r="I497" i="5"/>
  <c r="I496" i="5"/>
  <c r="K496" i="5"/>
  <c r="K495" i="5"/>
  <c r="I495" i="5"/>
  <c r="I494" i="5"/>
  <c r="K494" i="5"/>
  <c r="K493" i="5"/>
  <c r="I493" i="5"/>
  <c r="K492" i="5"/>
  <c r="I492" i="5"/>
  <c r="I491" i="5"/>
  <c r="K491" i="5"/>
  <c r="K490" i="5"/>
  <c r="I490" i="5"/>
  <c r="K489" i="5"/>
  <c r="K488" i="5"/>
  <c r="I488" i="5"/>
  <c r="I487" i="5"/>
  <c r="K487" i="5"/>
  <c r="K486" i="5"/>
  <c r="K485" i="5"/>
  <c r="K484" i="5"/>
  <c r="I484" i="5"/>
  <c r="I483" i="5"/>
  <c r="K483" i="5"/>
  <c r="K482" i="5"/>
  <c r="I482" i="5"/>
  <c r="I481" i="5"/>
  <c r="I479" i="5"/>
  <c r="K478" i="5"/>
  <c r="K477" i="5" l="1"/>
  <c r="K476" i="5"/>
  <c r="K475" i="5"/>
  <c r="I475" i="5"/>
  <c r="I474" i="5"/>
  <c r="K474" i="5"/>
  <c r="K473" i="5"/>
  <c r="I473" i="5"/>
  <c r="I472" i="5"/>
  <c r="K471" i="5"/>
  <c r="K470" i="5"/>
  <c r="K469" i="5"/>
  <c r="I469" i="5"/>
  <c r="I468" i="5"/>
  <c r="K468" i="5"/>
  <c r="K467" i="5"/>
  <c r="K466" i="5"/>
  <c r="K465" i="5"/>
  <c r="I465" i="5"/>
  <c r="I464" i="5"/>
  <c r="K464" i="5"/>
  <c r="K463" i="5"/>
  <c r="I463" i="5"/>
  <c r="K462" i="5"/>
  <c r="I461" i="5"/>
  <c r="K461" i="5"/>
  <c r="K460" i="5"/>
  <c r="K459" i="5"/>
  <c r="I458" i="5"/>
  <c r="K458" i="5"/>
  <c r="K457" i="5"/>
  <c r="I457" i="5"/>
  <c r="I456" i="5"/>
  <c r="K456" i="5"/>
  <c r="K455" i="5"/>
  <c r="I455" i="5"/>
  <c r="I454" i="5"/>
  <c r="K454" i="5"/>
  <c r="K453" i="5"/>
  <c r="I453" i="5"/>
  <c r="I452" i="5"/>
  <c r="K452" i="5"/>
  <c r="K451" i="5"/>
  <c r="I451" i="5"/>
  <c r="I450" i="5"/>
  <c r="K450" i="5"/>
  <c r="K449" i="5"/>
  <c r="K448" i="5"/>
  <c r="K447" i="5"/>
  <c r="I447" i="5"/>
  <c r="I446" i="5" l="1"/>
  <c r="K446" i="5"/>
  <c r="K444" i="5" l="1"/>
  <c r="I444" i="5"/>
  <c r="I443" i="5"/>
  <c r="K443" i="5"/>
  <c r="K442" i="5"/>
  <c r="I441" i="5"/>
  <c r="K441" i="5"/>
  <c r="K440" i="5"/>
  <c r="I440" i="5"/>
  <c r="I439" i="5"/>
  <c r="K439" i="5"/>
  <c r="K438" i="5"/>
  <c r="I438" i="5"/>
  <c r="I435" i="5"/>
  <c r="K435" i="5"/>
  <c r="K434" i="5"/>
  <c r="I434" i="5"/>
  <c r="K433" i="5"/>
  <c r="K432" i="5"/>
  <c r="I432" i="5"/>
  <c r="I431" i="5"/>
  <c r="K431" i="5"/>
  <c r="K430" i="5"/>
  <c r="I429" i="5"/>
  <c r="K429" i="5"/>
  <c r="I428" i="5"/>
  <c r="K427" i="5"/>
  <c r="I427" i="5"/>
  <c r="I426" i="5"/>
  <c r="K426" i="5"/>
  <c r="K425" i="5"/>
  <c r="I425" i="5"/>
  <c r="I424" i="5"/>
  <c r="K424" i="5"/>
  <c r="K423" i="5"/>
  <c r="I423" i="5"/>
  <c r="K422" i="5"/>
  <c r="K421" i="5"/>
  <c r="K420" i="5"/>
  <c r="I420" i="5"/>
  <c r="I419" i="5"/>
  <c r="K419" i="5"/>
  <c r="K418" i="5"/>
  <c r="I418" i="5"/>
  <c r="I417" i="5"/>
  <c r="K417" i="5"/>
  <c r="K416" i="5" l="1"/>
  <c r="I416" i="5"/>
  <c r="K415" i="5"/>
  <c r="K414" i="5"/>
  <c r="I414" i="5"/>
  <c r="I413" i="5"/>
  <c r="K413" i="5"/>
  <c r="K412" i="5"/>
  <c r="I412" i="5"/>
  <c r="K411" i="5"/>
  <c r="K410" i="5"/>
  <c r="K409" i="5"/>
  <c r="K408" i="5"/>
  <c r="I408" i="5"/>
  <c r="I407" i="5"/>
  <c r="K407" i="5"/>
  <c r="K406" i="5"/>
  <c r="I406" i="5"/>
  <c r="I405" i="5"/>
  <c r="K405" i="5"/>
  <c r="K404" i="5" l="1"/>
  <c r="K403" i="5"/>
  <c r="I403" i="5"/>
  <c r="I398" i="5"/>
  <c r="K398" i="5"/>
  <c r="K397" i="5"/>
  <c r="I397" i="5"/>
  <c r="I396" i="5"/>
  <c r="K396" i="5"/>
  <c r="K395" i="5"/>
  <c r="I394" i="5"/>
  <c r="K394" i="5"/>
  <c r="K393" i="5"/>
  <c r="I392" i="5"/>
  <c r="K392" i="5"/>
  <c r="K391" i="5"/>
  <c r="I387" i="5"/>
  <c r="I386" i="5"/>
  <c r="I384" i="5"/>
  <c r="T130" i="5" l="1"/>
  <c r="T129" i="5"/>
  <c r="S129" i="5"/>
  <c r="S130" i="5"/>
  <c r="T139" i="5"/>
  <c r="T137" i="5"/>
  <c r="K383" i="5"/>
  <c r="K379" i="5"/>
  <c r="K378" i="5"/>
  <c r="K377" i="5"/>
  <c r="K376" i="5"/>
  <c r="I376" i="5"/>
  <c r="I375" i="5"/>
  <c r="K375" i="5"/>
  <c r="S139" i="5" l="1"/>
  <c r="S137" i="5"/>
  <c r="I374" i="5"/>
  <c r="K374" i="5"/>
  <c r="K373" i="5" l="1"/>
  <c r="I372" i="5"/>
  <c r="K372" i="5"/>
  <c r="K371" i="5"/>
  <c r="I371" i="5"/>
  <c r="I370" i="5"/>
  <c r="K370" i="5"/>
  <c r="K369" i="5"/>
  <c r="I369" i="5"/>
  <c r="I368" i="5"/>
  <c r="K368" i="5"/>
  <c r="K367" i="5"/>
  <c r="I366" i="5"/>
  <c r="K366" i="5"/>
  <c r="K365" i="5"/>
  <c r="I364" i="5"/>
  <c r="K364" i="5"/>
  <c r="K363" i="5"/>
  <c r="I363" i="5"/>
  <c r="I361" i="5" l="1"/>
  <c r="K361" i="5"/>
  <c r="K360" i="5"/>
  <c r="K359" i="5"/>
  <c r="K358" i="5"/>
  <c r="I358" i="5"/>
  <c r="K357" i="5" l="1"/>
  <c r="K356" i="5"/>
  <c r="K355" i="5"/>
  <c r="K354" i="5"/>
  <c r="K353" i="5"/>
  <c r="K352" i="5"/>
  <c r="I347" i="5" l="1"/>
  <c r="K345" i="5"/>
  <c r="I345" i="5"/>
  <c r="K344" i="5"/>
  <c r="K343" i="5"/>
  <c r="I342" i="5"/>
  <c r="K342" i="5"/>
  <c r="K341" i="5" l="1"/>
  <c r="I341" i="5"/>
  <c r="I340" i="5"/>
  <c r="K340" i="5"/>
  <c r="K339" i="5"/>
  <c r="K338" i="5"/>
  <c r="K337" i="5"/>
  <c r="K336" i="5"/>
  <c r="K335" i="5"/>
  <c r="K334" i="5"/>
  <c r="K333" i="5"/>
  <c r="I332" i="5"/>
  <c r="K332" i="5"/>
  <c r="K331" i="5"/>
  <c r="I330" i="5"/>
  <c r="K330" i="5"/>
  <c r="K329" i="5"/>
  <c r="I329" i="5"/>
  <c r="I328" i="5"/>
  <c r="K328" i="5"/>
  <c r="I327" i="5" l="1"/>
  <c r="K327" i="5"/>
  <c r="K326" i="5"/>
  <c r="I325" i="5"/>
  <c r="K325" i="5"/>
  <c r="K324" i="5"/>
  <c r="I324" i="5"/>
  <c r="K323" i="5"/>
  <c r="K322" i="5"/>
  <c r="I322" i="5"/>
  <c r="I321" i="5"/>
  <c r="K321" i="5"/>
  <c r="K320" i="5"/>
  <c r="K319" i="5"/>
  <c r="K318" i="5"/>
  <c r="I318" i="5"/>
  <c r="K317" i="5"/>
  <c r="K316" i="5" l="1"/>
  <c r="K315" i="5"/>
  <c r="K314" i="5"/>
  <c r="K313" i="5"/>
  <c r="K312" i="5"/>
  <c r="K311" i="5"/>
  <c r="I310" i="5"/>
  <c r="K310" i="5"/>
  <c r="K309" i="5"/>
  <c r="I309" i="5"/>
  <c r="I308" i="5"/>
  <c r="K308" i="5"/>
  <c r="K307" i="5"/>
  <c r="I307" i="5"/>
  <c r="I306" i="5"/>
  <c r="K306" i="5"/>
  <c r="K305" i="5"/>
  <c r="K304" i="5"/>
  <c r="K303" i="5"/>
  <c r="K302" i="5"/>
  <c r="K301" i="5"/>
  <c r="I301" i="5"/>
  <c r="I300" i="5"/>
  <c r="K300" i="5"/>
  <c r="K299" i="5"/>
  <c r="K298" i="5"/>
  <c r="K297" i="5"/>
  <c r="I297" i="5"/>
  <c r="I296" i="5"/>
  <c r="K296" i="5"/>
  <c r="K295" i="5"/>
  <c r="I295" i="5"/>
  <c r="I294" i="5"/>
  <c r="K294" i="5"/>
  <c r="K293" i="5"/>
  <c r="K292" i="5"/>
  <c r="K291" i="5"/>
  <c r="I291" i="5"/>
  <c r="K290" i="5"/>
  <c r="I289" i="5" l="1"/>
  <c r="K289" i="5"/>
  <c r="K288" i="5" l="1"/>
  <c r="I288" i="5"/>
  <c r="I287" i="5"/>
  <c r="K287" i="5"/>
  <c r="K286" i="5"/>
  <c r="I286" i="5"/>
  <c r="I285" i="5"/>
  <c r="K285" i="5"/>
  <c r="K283" i="5"/>
  <c r="I282" i="5"/>
  <c r="K281" i="5"/>
  <c r="K280" i="5"/>
  <c r="I279" i="5"/>
  <c r="K279" i="5"/>
  <c r="K278" i="5" l="1"/>
  <c r="I278" i="5"/>
  <c r="I277" i="5"/>
  <c r="K277" i="5"/>
  <c r="K276" i="5" l="1"/>
  <c r="I276" i="5"/>
  <c r="K275" i="5"/>
  <c r="K274" i="5"/>
  <c r="K273" i="5"/>
  <c r="K272" i="5"/>
  <c r="I272" i="5"/>
  <c r="I271" i="5"/>
  <c r="K271" i="5"/>
  <c r="K270" i="5"/>
  <c r="I270" i="5"/>
  <c r="K269" i="5"/>
  <c r="K268" i="5"/>
  <c r="K267" i="5"/>
  <c r="K266" i="5"/>
  <c r="I266" i="5"/>
  <c r="K265" i="5"/>
  <c r="K264" i="5"/>
  <c r="I264" i="5"/>
  <c r="I263" i="5"/>
  <c r="K263" i="5"/>
  <c r="K262" i="5"/>
  <c r="I262" i="5"/>
  <c r="K261" i="5"/>
  <c r="K260" i="5"/>
  <c r="I260" i="5"/>
  <c r="K259" i="5"/>
  <c r="K258" i="5"/>
  <c r="I258" i="5"/>
  <c r="K257" i="5"/>
  <c r="K256" i="5"/>
  <c r="I255" i="5"/>
  <c r="K255" i="5"/>
  <c r="K254" i="5"/>
  <c r="I254" i="5"/>
  <c r="I253" i="5"/>
  <c r="K253" i="5"/>
  <c r="K252" i="5" l="1"/>
  <c r="K251" i="5"/>
  <c r="I250" i="5"/>
  <c r="K250" i="5"/>
  <c r="K249" i="5"/>
  <c r="I249" i="5"/>
  <c r="I248" i="5"/>
  <c r="K248" i="5"/>
  <c r="K247" i="5"/>
  <c r="I247" i="5"/>
  <c r="K246" i="5"/>
  <c r="K245" i="5"/>
  <c r="I245" i="5"/>
  <c r="I244" i="5"/>
  <c r="K244" i="5"/>
  <c r="K243" i="5"/>
  <c r="I243" i="5"/>
  <c r="I242" i="5"/>
  <c r="K242" i="5"/>
  <c r="K241" i="5"/>
  <c r="I241" i="5"/>
  <c r="K240" i="5"/>
  <c r="K239" i="5"/>
  <c r="I239" i="5"/>
  <c r="I238" i="5"/>
  <c r="K238" i="5"/>
  <c r="K237" i="5"/>
  <c r="I236" i="5"/>
  <c r="K236" i="5"/>
  <c r="K235" i="5"/>
  <c r="I235" i="5"/>
  <c r="K234" i="5"/>
  <c r="K233" i="5"/>
  <c r="I233" i="5"/>
  <c r="I191" i="5"/>
  <c r="K191" i="5"/>
  <c r="K190" i="5"/>
  <c r="I190" i="5"/>
  <c r="K189" i="5"/>
  <c r="K188" i="5"/>
  <c r="I187" i="5"/>
  <c r="K187" i="5"/>
  <c r="K186" i="5"/>
  <c r="I186" i="5"/>
  <c r="K185" i="5"/>
  <c r="K184" i="5"/>
  <c r="I184" i="5"/>
  <c r="I183" i="5"/>
  <c r="K183" i="5"/>
  <c r="K182" i="5"/>
  <c r="I182" i="5"/>
  <c r="I181" i="5"/>
  <c r="K181" i="5"/>
  <c r="K180" i="5"/>
  <c r="I180" i="5"/>
  <c r="K179" i="5"/>
  <c r="K178" i="5"/>
  <c r="K177" i="5"/>
  <c r="K176" i="5"/>
  <c r="I176" i="5"/>
  <c r="I175" i="5"/>
  <c r="K175" i="5"/>
  <c r="K174" i="5"/>
  <c r="I174" i="5"/>
  <c r="K173" i="5"/>
  <c r="K172" i="5"/>
  <c r="I171" i="5"/>
  <c r="K171" i="5"/>
  <c r="K170" i="5"/>
  <c r="I170" i="5"/>
  <c r="K169" i="5"/>
  <c r="K168" i="5"/>
  <c r="I167" i="5"/>
  <c r="K167" i="5"/>
  <c r="K166" i="5"/>
  <c r="K164" i="5"/>
  <c r="K163" i="5"/>
  <c r="K162" i="5"/>
  <c r="I162" i="5"/>
  <c r="K161" i="5"/>
  <c r="K160" i="5"/>
  <c r="I160" i="5"/>
  <c r="I159" i="5"/>
  <c r="K159" i="5"/>
  <c r="K158" i="5"/>
  <c r="I158" i="5"/>
  <c r="K157" i="5"/>
  <c r="K156" i="5"/>
  <c r="I156" i="5"/>
  <c r="I155" i="5"/>
  <c r="K155" i="5"/>
  <c r="K154" i="5"/>
  <c r="I154" i="5"/>
  <c r="I153" i="5"/>
  <c r="K153" i="5"/>
  <c r="K152" i="5"/>
  <c r="K151" i="5"/>
  <c r="K150" i="5"/>
  <c r="I149" i="5"/>
  <c r="K149" i="5"/>
  <c r="K148" i="5"/>
  <c r="I148" i="5"/>
  <c r="K147" i="5"/>
  <c r="K146" i="5"/>
  <c r="I146" i="5"/>
  <c r="I145" i="5"/>
  <c r="K145" i="5"/>
  <c r="K144" i="5"/>
  <c r="I143" i="5"/>
  <c r="K143" i="5"/>
  <c r="K142" i="5"/>
  <c r="I142" i="5"/>
  <c r="I141" i="5"/>
  <c r="K141" i="5"/>
  <c r="K140" i="5"/>
  <c r="I140" i="5"/>
  <c r="I139" i="5"/>
  <c r="K139" i="5"/>
  <c r="K138" i="5"/>
  <c r="I138" i="5"/>
  <c r="I137" i="5"/>
  <c r="K137" i="5"/>
  <c r="K136" i="5"/>
  <c r="I136" i="5"/>
  <c r="I135" i="5"/>
  <c r="K135" i="5"/>
  <c r="K134" i="5"/>
  <c r="I134" i="5"/>
  <c r="I133" i="5"/>
  <c r="K133" i="5"/>
  <c r="R139" i="5" l="1"/>
  <c r="R137" i="5"/>
  <c r="S113" i="5"/>
  <c r="U113" i="5"/>
  <c r="S115" i="5"/>
  <c r="R130" i="5"/>
  <c r="R154" i="5"/>
  <c r="R129" i="5"/>
  <c r="U115" i="5"/>
  <c r="R132" i="5"/>
  <c r="R131" i="5"/>
  <c r="T115" i="5"/>
  <c r="R115" i="5"/>
  <c r="R128" i="5"/>
  <c r="R127" i="5"/>
  <c r="T132" i="5"/>
  <c r="T127" i="5"/>
  <c r="T131" i="5"/>
  <c r="T128" i="5"/>
  <c r="S131" i="5"/>
  <c r="S128" i="5"/>
  <c r="S132" i="5"/>
  <c r="S127" i="5"/>
  <c r="R113" i="5"/>
  <c r="R143" i="5"/>
  <c r="R144" i="5"/>
  <c r="R135" i="5"/>
  <c r="R134" i="5"/>
  <c r="T113" i="5"/>
  <c r="S144" i="5"/>
  <c r="S135" i="5"/>
  <c r="S143" i="5"/>
  <c r="S134" i="5"/>
  <c r="T134" i="5"/>
  <c r="T144" i="5"/>
  <c r="T135" i="5"/>
  <c r="T143" i="5"/>
</calcChain>
</file>

<file path=xl/sharedStrings.xml><?xml version="1.0" encoding="utf-8"?>
<sst xmlns="http://schemas.openxmlformats.org/spreadsheetml/2006/main" count="5345" uniqueCount="881">
  <si>
    <t>Cell</t>
  </si>
  <si>
    <t>Pringles</t>
  </si>
  <si>
    <t>39.22, 20.05</t>
  </si>
  <si>
    <t>40.11, 60.61</t>
  </si>
  <si>
    <t>79.32, 49.02</t>
  </si>
  <si>
    <t>Notes</t>
  </si>
  <si>
    <t>120.32, 90.91</t>
  </si>
  <si>
    <t>153.30, 21.39</t>
  </si>
  <si>
    <t>49.91, 98.48</t>
  </si>
  <si>
    <t>86.45, 152.41</t>
  </si>
  <si>
    <t>132.35, 139.93</t>
  </si>
  <si>
    <t>90.91, 219.25</t>
  </si>
  <si>
    <t>153.74, 219.70</t>
  </si>
  <si>
    <t>181.82, 220.14</t>
  </si>
  <si>
    <t>209.45, 124.78</t>
  </si>
  <si>
    <t>228.16, 98.48</t>
  </si>
  <si>
    <t>231.73, 223.26</t>
  </si>
  <si>
    <t>274.51, 116.31</t>
  </si>
  <si>
    <t>324.42, 148.84</t>
  </si>
  <si>
    <t>337.79, 78.43</t>
  </si>
  <si>
    <t>318.18, 34.76</t>
  </si>
  <si>
    <t>368.09, 172.91</t>
  </si>
  <si>
    <t>343.14, 180.48</t>
  </si>
  <si>
    <t>378.34, 255.79</t>
  </si>
  <si>
    <t>379.68, 301.69</t>
  </si>
  <si>
    <t>312.39, 250.00</t>
  </si>
  <si>
    <t>330.66, 240.64</t>
  </si>
  <si>
    <t>266.49, 279.86</t>
  </si>
  <si>
    <t>271.84, 344.03</t>
  </si>
  <si>
    <t>194.30, 345.81</t>
  </si>
  <si>
    <t>210.34, 402.85</t>
  </si>
  <si>
    <t>270.94, 392.16</t>
  </si>
  <si>
    <t>286.99, 418.00</t>
  </si>
  <si>
    <t>20.50, 393.05</t>
  </si>
  <si>
    <t>Yorkshire Tea</t>
  </si>
  <si>
    <t>36.10, 30.75</t>
  </si>
  <si>
    <t>45.45, 65.95</t>
  </si>
  <si>
    <t>2.23, 85.56</t>
  </si>
  <si>
    <t>66.84, 91.35</t>
  </si>
  <si>
    <t>maybe 2?</t>
  </si>
  <si>
    <t>98.04, 61.50</t>
  </si>
  <si>
    <t>81.11, 84.22</t>
  </si>
  <si>
    <t>11.59, 175.13</t>
  </si>
  <si>
    <t>36.54, 151.96</t>
  </si>
  <si>
    <t>56.15, 223.71</t>
  </si>
  <si>
    <t>103.39, 200.09</t>
  </si>
  <si>
    <t>146.17, 191.18</t>
  </si>
  <si>
    <t>168.45, 173.80</t>
  </si>
  <si>
    <t>144.38, 154.19</t>
  </si>
  <si>
    <t>139.93, 174.69</t>
  </si>
  <si>
    <t>98.04, 135.47</t>
  </si>
  <si>
    <t>128.79, 85.56</t>
  </si>
  <si>
    <t>136.36, 43.23</t>
  </si>
  <si>
    <t>143.49, 57.49</t>
  </si>
  <si>
    <t>196.52, 61.50</t>
  </si>
  <si>
    <t>248.66, 90.91</t>
  </si>
  <si>
    <t>264.71, 107.84</t>
  </si>
  <si>
    <t>317.29, 116.31</t>
  </si>
  <si>
    <t>334.22, 10.70</t>
  </si>
  <si>
    <t>433.60, 98.48</t>
  </si>
  <si>
    <t>345.81, 114.97</t>
  </si>
  <si>
    <t>356.51, 112.75</t>
  </si>
  <si>
    <t>339.57, 143.05</t>
  </si>
  <si>
    <t>359.18, 139.04</t>
  </si>
  <si>
    <t>342.69, 151.96</t>
  </si>
  <si>
    <t>maybe 4?</t>
  </si>
  <si>
    <t>321.30, 166.22</t>
  </si>
  <si>
    <t>305.26, 178.70</t>
  </si>
  <si>
    <t>285.65, 189.84</t>
  </si>
  <si>
    <t>268.27, 215.69</t>
  </si>
  <si>
    <t>198.31, 243.32</t>
  </si>
  <si>
    <t>163.10, 272.73</t>
  </si>
  <si>
    <t>146.17, 291.00</t>
  </si>
  <si>
    <t>399.73, 141.27</t>
  </si>
  <si>
    <t>433.60, 150.18</t>
  </si>
  <si>
    <t>431.37, 206.77</t>
  </si>
  <si>
    <t>358.73, 259.36</t>
  </si>
  <si>
    <t>323.53, 248.22</t>
  </si>
  <si>
    <t>238.86, 269.16</t>
  </si>
  <si>
    <t>254.01, 294.56</t>
  </si>
  <si>
    <t>202.32, 321.75</t>
  </si>
  <si>
    <t>285.20, 299.91</t>
  </si>
  <si>
    <t>370.77, 367.65</t>
  </si>
  <si>
    <t>417.11, 401.07</t>
  </si>
  <si>
    <t>412.66, 430.48</t>
  </si>
  <si>
    <t>254.01, 422.91</t>
  </si>
  <si>
    <t>267.83, 409.98</t>
  </si>
  <si>
    <t>161.32, 415.78</t>
  </si>
  <si>
    <t>131.91, 423.35</t>
  </si>
  <si>
    <t>101.60, 372.99</t>
  </si>
  <si>
    <t>69.52, 388.59</t>
  </si>
  <si>
    <t>15.15, 405.53</t>
  </si>
  <si>
    <t>Aperol Spritz</t>
  </si>
  <si>
    <t>65.95, 16.93</t>
  </si>
  <si>
    <t>49.02, 46.79</t>
  </si>
  <si>
    <t>68.63, 68.63</t>
  </si>
  <si>
    <t>106.06, 129.23</t>
  </si>
  <si>
    <t>311.05, 46.35</t>
  </si>
  <si>
    <t>331.55, 57.04</t>
  </si>
  <si>
    <t>420.68, 65.06</t>
  </si>
  <si>
    <t>346.70, 97.15</t>
  </si>
  <si>
    <t>276.86, 118.54</t>
  </si>
  <si>
    <t>245.99, 127.45</t>
  </si>
  <si>
    <t>253.12, 171.12</t>
  </si>
  <si>
    <t>330.66, 146.61</t>
  </si>
  <si>
    <t>322.64, 200.09</t>
  </si>
  <si>
    <t>397.50, 212.12</t>
  </si>
  <si>
    <t>122.10, 249.55</t>
  </si>
  <si>
    <t>91.35, 289.66</t>
  </si>
  <si>
    <t>61.50, 368.98</t>
  </si>
  <si>
    <t>98.93, 410.87</t>
  </si>
  <si>
    <t>189.39, 385.92</t>
  </si>
  <si>
    <t>277.18, 422.46</t>
  </si>
  <si>
    <t>258.91, 349.38</t>
  </si>
  <si>
    <t>440.73, 262.48</t>
  </si>
  <si>
    <t>381.46, 311.94</t>
  </si>
  <si>
    <t>Cheesy Chips</t>
  </si>
  <si>
    <t>23.62, 23.62</t>
  </si>
  <si>
    <t>53.48, 24.96</t>
  </si>
  <si>
    <t>72.19, 37.88</t>
  </si>
  <si>
    <t>85.56, 48.57</t>
  </si>
  <si>
    <t>118.54, 66.84</t>
  </si>
  <si>
    <t>162.66, 20.50</t>
  </si>
  <si>
    <t>208.56, 64.17</t>
  </si>
  <si>
    <t>196.52, 12.48</t>
  </si>
  <si>
    <t>231.73, 43.67</t>
  </si>
  <si>
    <t>264.26, 91.35</t>
  </si>
  <si>
    <t>346.70, 43.67</t>
  </si>
  <si>
    <t>315.95, 102.05</t>
  </si>
  <si>
    <t>363.64, 100.71</t>
  </si>
  <si>
    <t>355.61, 143.49</t>
  </si>
  <si>
    <t>376.56, 168.00</t>
  </si>
  <si>
    <t>431.82, 57.93</t>
  </si>
  <si>
    <t>FITC not great - use?</t>
  </si>
  <si>
    <t>409.98, 55.26</t>
  </si>
  <si>
    <t>444.30, 139.04</t>
  </si>
  <si>
    <t>396.17, 215.69</t>
  </si>
  <si>
    <t>335.56, 209.00</t>
  </si>
  <si>
    <t>313.73, 151.96</t>
  </si>
  <si>
    <t>225.49, 153.30</t>
  </si>
  <si>
    <t>280.75, 196.97</t>
  </si>
  <si>
    <t>191.18, 258.47</t>
  </si>
  <si>
    <t>306.60, 251.78</t>
  </si>
  <si>
    <t>304.81, 287.43</t>
  </si>
  <si>
    <t>131.02, 257.58</t>
  </si>
  <si>
    <t>114.53, 229.06</t>
  </si>
  <si>
    <t>96.26, 298.57</t>
  </si>
  <si>
    <t>11.59, 244.21</t>
  </si>
  <si>
    <t>28.97, 262.92</t>
  </si>
  <si>
    <t>62.39, 354.72</t>
  </si>
  <si>
    <t>135.47, 392.16</t>
  </si>
  <si>
    <t>163.10, 383.69</t>
  </si>
  <si>
    <t>189.39, 365.42</t>
  </si>
  <si>
    <t>178.25, 438.50</t>
  </si>
  <si>
    <t>216.13, 403.30</t>
  </si>
  <si>
    <t>370.77, 331.55</t>
  </si>
  <si>
    <t>409.98, 358.29</t>
  </si>
  <si>
    <t>236.19, 426.02</t>
  </si>
  <si>
    <t>maybe 3?</t>
  </si>
  <si>
    <t>327.99, 380.12</t>
  </si>
  <si>
    <t>Region</t>
  </si>
  <si>
    <t>Image ID</t>
  </si>
  <si>
    <t>Mouse</t>
  </si>
  <si>
    <t>M8</t>
  </si>
  <si>
    <t>Cell location (x,y)</t>
  </si>
  <si>
    <t>Cell type (1, 2, 3 or 4)</t>
  </si>
  <si>
    <t>Cell length</t>
  </si>
  <si>
    <t>Vessel diameter</t>
  </si>
  <si>
    <t>% Vessel covered by cell</t>
  </si>
  <si>
    <t>Good example</t>
  </si>
  <si>
    <t>? Labelling not bright</t>
  </si>
  <si>
    <t>Maybe 2?</t>
  </si>
  <si>
    <t>Maybe 3?</t>
  </si>
  <si>
    <t>Maybe 2? - labelling not bright</t>
  </si>
  <si>
    <t>Maybe 4?</t>
  </si>
  <si>
    <t>Mayeb 4?</t>
  </si>
  <si>
    <t>3?</t>
  </si>
  <si>
    <t>4?</t>
  </si>
  <si>
    <t>2?</t>
  </si>
  <si>
    <t>Part ensheathing?</t>
  </si>
  <si>
    <t>Total cells</t>
  </si>
  <si>
    <t>Ave. # branch points</t>
  </si>
  <si>
    <t>Ave. vessel diameter</t>
  </si>
  <si>
    <t>Ave. % vessel covered</t>
  </si>
  <si>
    <t>Ave. cell length</t>
  </si>
  <si>
    <t>Cell type</t>
  </si>
  <si>
    <t>Overall</t>
  </si>
  <si>
    <t>SEM Overall</t>
  </si>
  <si>
    <t>Ave. Vessel diameter</t>
  </si>
  <si>
    <t>Ave. % Vessel covered</t>
  </si>
  <si>
    <t>Ave. Cell length</t>
  </si>
  <si>
    <t>Ave. # Branch points</t>
  </si>
  <si>
    <t>BananaBread</t>
  </si>
  <si>
    <t>scale 456.33x456.33</t>
  </si>
  <si>
    <t>Scale 456.33x456.33</t>
  </si>
  <si>
    <t>9.80, 27.18</t>
  </si>
  <si>
    <t>100.71, 84.22</t>
  </si>
  <si>
    <t>61.50, 25.85</t>
  </si>
  <si>
    <t>111.41, 77.54</t>
  </si>
  <si>
    <t>155.08, 39.66</t>
  </si>
  <si>
    <t>195.19, 77.54</t>
  </si>
  <si>
    <t>203.21, 24.06</t>
  </si>
  <si>
    <t>251.34, 28.97</t>
  </si>
  <si>
    <t>276.74, 23.62</t>
  </si>
  <si>
    <t>335.56, 9.36</t>
  </si>
  <si>
    <t>317.74, 62.83</t>
  </si>
  <si>
    <t>442.07, 126.56</t>
  </si>
  <si>
    <t>409.98, 148.84</t>
  </si>
  <si>
    <t>424.24, 81.11</t>
  </si>
  <si>
    <t>two vessels?? - but think PC covered both</t>
  </si>
  <si>
    <t>397.50, 95.37</t>
  </si>
  <si>
    <t>317.29, 110.96</t>
  </si>
  <si>
    <t>342.25, 113.19</t>
  </si>
  <si>
    <t>307.04, 136.36</t>
  </si>
  <si>
    <t>287.43, 83.78</t>
  </si>
  <si>
    <t>253.12, 67.74</t>
  </si>
  <si>
    <t>141.71, 117.5</t>
  </si>
  <si>
    <t>179.14, 141.71</t>
  </si>
  <si>
    <t>185.38, 155.53</t>
  </si>
  <si>
    <t>255.35, 179.14</t>
  </si>
  <si>
    <t>243.32, 153.30</t>
  </si>
  <si>
    <t>20.50, 123.89</t>
  </si>
  <si>
    <t>98.48, 176.92</t>
  </si>
  <si>
    <t>168.45, 188.95</t>
  </si>
  <si>
    <t>84.22, 215.69</t>
  </si>
  <si>
    <t>12.92, 203.65</t>
  </si>
  <si>
    <t>68.18, 244.65</t>
  </si>
  <si>
    <t>100.71, 295.90</t>
  </si>
  <si>
    <t>9.80, 349.82</t>
  </si>
  <si>
    <t>113.19, 442.96</t>
  </si>
  <si>
    <t>67.74, 440.29</t>
  </si>
  <si>
    <t>230.84, 451.87</t>
  </si>
  <si>
    <t>199.64, 375.22</t>
  </si>
  <si>
    <t>233.96, 380.57</t>
  </si>
  <si>
    <t>269.61, 349.38</t>
  </si>
  <si>
    <t>two PCs/vessels?</t>
  </si>
  <si>
    <t>267.83, 317.74</t>
  </si>
  <si>
    <t>285.65, 334.22</t>
  </si>
  <si>
    <t>303.48, 381.91</t>
  </si>
  <si>
    <t>Use? - taken too much crossover vessel out?</t>
  </si>
  <si>
    <t>310.61, 338.68</t>
  </si>
  <si>
    <t>243.32, 292.33</t>
  </si>
  <si>
    <t>273.17, 275.40</t>
  </si>
  <si>
    <t>315.95, 293.23</t>
  </si>
  <si>
    <t>287.43, 240.64</t>
  </si>
  <si>
    <t>307.49, 235.74</t>
  </si>
  <si>
    <t>344.47, 183.60</t>
  </si>
  <si>
    <t>403.74, 176.47</t>
  </si>
  <si>
    <t>426.47, 204.99</t>
  </si>
  <si>
    <t>416.22, 235.74</t>
  </si>
  <si>
    <t>403.74, 283.87</t>
  </si>
  <si>
    <t>406.42, 351.60</t>
  </si>
  <si>
    <t>418.89, 310.38</t>
  </si>
  <si>
    <t>409.98, 387.25</t>
  </si>
  <si>
    <t>394.38, 389.48</t>
  </si>
  <si>
    <t>360.52, 410.43</t>
  </si>
  <si>
    <t>345.81, 402.85</t>
  </si>
  <si>
    <t>Chrizo</t>
  </si>
  <si>
    <t>18.18, 39.77</t>
  </si>
  <si>
    <t>Large vessel with PC2 covering one side and PC1 on the other</t>
  </si>
  <si>
    <t>43.75, 44.32</t>
  </si>
  <si>
    <t>66.48, 51.14</t>
  </si>
  <si>
    <t>186.36, 31.82</t>
  </si>
  <si>
    <t>218.18, 10.23</t>
  </si>
  <si>
    <t>326.14, 20.45</t>
  </si>
  <si>
    <t>392.05, 23.30</t>
  </si>
  <si>
    <t>407.95, 17.05</t>
  </si>
  <si>
    <t>478.41, 32.39</t>
  </si>
  <si>
    <t>543.18, 35.23</t>
  </si>
  <si>
    <t>545.45, 7.39</t>
  </si>
  <si>
    <t>564.20, 79.55</t>
  </si>
  <si>
    <t>527.27, 86.36</t>
  </si>
  <si>
    <t>515.91, 109.66</t>
  </si>
  <si>
    <t>525.57, 157.95</t>
  </si>
  <si>
    <t>557.95, 181.82</t>
  </si>
  <si>
    <t>459.09, 100.00</t>
  </si>
  <si>
    <t>429.55, 125.57</t>
  </si>
  <si>
    <t>369.32, 80.11</t>
  </si>
  <si>
    <t>423.86, 72.73</t>
  </si>
  <si>
    <t>389.20, 97.73</t>
  </si>
  <si>
    <t>314.77, 67.05</t>
  </si>
  <si>
    <t>257.39, 68.18</t>
  </si>
  <si>
    <t>296.59, 116.48</t>
  </si>
  <si>
    <t>209.09, 62.50</t>
  </si>
  <si>
    <t>138.64, 73.30</t>
  </si>
  <si>
    <t>93.18, 92.05</t>
  </si>
  <si>
    <t>182.95, 96.59</t>
  </si>
  <si>
    <t>298.30, 130.68</t>
  </si>
  <si>
    <t>269.32, 146.59</t>
  </si>
  <si>
    <t>Use - taken too much overlaping vessels out?</t>
  </si>
  <si>
    <t>105.11, 145.45</t>
  </si>
  <si>
    <t>PC over two vessels?</t>
  </si>
  <si>
    <t>153.41, 175.00</t>
  </si>
  <si>
    <t>66.48, 167.05</t>
  </si>
  <si>
    <t>70.45, 194.32</t>
  </si>
  <si>
    <t>41.48, 193.75</t>
  </si>
  <si>
    <t>89.77, 200.00</t>
  </si>
  <si>
    <t>140.91, 180.68</t>
  </si>
  <si>
    <t>221.59, 226.14</t>
  </si>
  <si>
    <t>260.23, 243.18</t>
  </si>
  <si>
    <t>247.73, 270.45</t>
  </si>
  <si>
    <t>201.14, 259.66</t>
  </si>
  <si>
    <t>201.14, 344.32</t>
  </si>
  <si>
    <t>130.68, 260.23</t>
  </si>
  <si>
    <t>138.64, 319.32</t>
  </si>
  <si>
    <t>118.64, 321.59</t>
  </si>
  <si>
    <t>219.32, 338.64</t>
  </si>
  <si>
    <t>267.05, 280.68</t>
  </si>
  <si>
    <t>316.48, 252.27</t>
  </si>
  <si>
    <t>314.77, 300.57</t>
  </si>
  <si>
    <t>382.39, 239.20</t>
  </si>
  <si>
    <t>two vessel, PC over both</t>
  </si>
  <si>
    <t>393.75, 242.05</t>
  </si>
  <si>
    <t>429.55, 239.20</t>
  </si>
  <si>
    <t>468.18, 264.20</t>
  </si>
  <si>
    <t>517.05, 282.95</t>
  </si>
  <si>
    <t>543.09, 315.91</t>
  </si>
  <si>
    <t>492.05, 376.14</t>
  </si>
  <si>
    <t>Don't use - not clear PC?</t>
  </si>
  <si>
    <t>525.57, 396.59</t>
  </si>
  <si>
    <t>557.39, 423.86</t>
  </si>
  <si>
    <t>501.14, 435.23</t>
  </si>
  <si>
    <t>479.55, 443.18</t>
  </si>
  <si>
    <t>402.84, 418.18</t>
  </si>
  <si>
    <t>443.18, 423.30</t>
  </si>
  <si>
    <t>436.93, 510.23</t>
  </si>
  <si>
    <t>436.64, 556.82</t>
  </si>
  <si>
    <t>378.41, 548.86</t>
  </si>
  <si>
    <t>400.00, 553.41</t>
  </si>
  <si>
    <t>390.91, 509.66</t>
  </si>
  <si>
    <t>400.57, 514.20</t>
  </si>
  <si>
    <t>Gravy</t>
  </si>
  <si>
    <t>Scale 581.82x581.82</t>
  </si>
  <si>
    <t>32.39, 60.23</t>
  </si>
  <si>
    <t>64.77, 68.75</t>
  </si>
  <si>
    <t>54.55, 48.30</t>
  </si>
  <si>
    <t>66.48, 52.27</t>
  </si>
  <si>
    <t>123.30, 25.00</t>
  </si>
  <si>
    <t>150.0, 59.66</t>
  </si>
  <si>
    <t>216.48, 76.14</t>
  </si>
  <si>
    <t>173.30, 109.09</t>
  </si>
  <si>
    <t>206.82, 130.11</t>
  </si>
  <si>
    <t>316.48, 30.68</t>
  </si>
  <si>
    <t>318.18, 57.39</t>
  </si>
  <si>
    <t>352.27, 79.55</t>
  </si>
  <si>
    <t>402.84, 73.86</t>
  </si>
  <si>
    <t>426.14, 78.41</t>
  </si>
  <si>
    <t>511.93, 80.11</t>
  </si>
  <si>
    <t>559.09, 98.30</t>
  </si>
  <si>
    <t>480.11, 164.20</t>
  </si>
  <si>
    <t>552.84, 153.41</t>
  </si>
  <si>
    <t>436.93, 151.14</t>
  </si>
  <si>
    <t>370.45, 121.02</t>
  </si>
  <si>
    <t>355.11, 134.09</t>
  </si>
  <si>
    <t>282.95, 146.59</t>
  </si>
  <si>
    <t>209.66, 190.91</t>
  </si>
  <si>
    <t>118.18, 143.75</t>
  </si>
  <si>
    <t>93.75, 156.82</t>
  </si>
  <si>
    <t>105.68, 146.59</t>
  </si>
  <si>
    <t>15.91, 175.00</t>
  </si>
  <si>
    <t>37.50, 243.18</t>
  </si>
  <si>
    <t>109.09, 236.93</t>
  </si>
  <si>
    <t>170.45, 254.55</t>
  </si>
  <si>
    <t>165.91, 259.09</t>
  </si>
  <si>
    <t>293.75, 189.20</t>
  </si>
  <si>
    <t>313.64, 223.86</t>
  </si>
  <si>
    <t>384.09, 186.36</t>
  </si>
  <si>
    <t>482.39, 215.91</t>
  </si>
  <si>
    <t>564.20, 255.00</t>
  </si>
  <si>
    <t>463.64, 246.02</t>
  </si>
  <si>
    <t>532.95, 313.64</t>
  </si>
  <si>
    <t>498.86, 327.84</t>
  </si>
  <si>
    <t>447.73, 327.27</t>
  </si>
  <si>
    <t>402.27, 312.50</t>
  </si>
  <si>
    <t>414.20, 341.48</t>
  </si>
  <si>
    <t>430.68, 362.50</t>
  </si>
  <si>
    <t>501.14, 350.00</t>
  </si>
  <si>
    <t>348.30, 338.64</t>
  </si>
  <si>
    <t>315.91, 321.59</t>
  </si>
  <si>
    <t>305.11, 330.68</t>
  </si>
  <si>
    <t>271.59, 356.82</t>
  </si>
  <si>
    <t>238.64, 364.20</t>
  </si>
  <si>
    <t>184.66, 372.73</t>
  </si>
  <si>
    <t>167.05, 391.48</t>
  </si>
  <si>
    <t>151.14, 398.86</t>
  </si>
  <si>
    <t>36.93, 411.93</t>
  </si>
  <si>
    <t>105.11, 410.23</t>
  </si>
  <si>
    <t>80.68, 400.57</t>
  </si>
  <si>
    <t>23.86, 419.32</t>
  </si>
  <si>
    <t>134.66, 315.91</t>
  </si>
  <si>
    <t>221.59, 323.30</t>
  </si>
  <si>
    <t>104.55, 369.32</t>
  </si>
  <si>
    <t>48.86, 373.86</t>
  </si>
  <si>
    <t>46.02, 482.39</t>
  </si>
  <si>
    <t>15.91, 476.14</t>
  </si>
  <si>
    <t>154.55, 497.73</t>
  </si>
  <si>
    <t>169.32, 493.18</t>
  </si>
  <si>
    <t>214.20, 452.84</t>
  </si>
  <si>
    <t>167.05, 435.23</t>
  </si>
  <si>
    <t>198.86, 550.00</t>
  </si>
  <si>
    <t>238.64, 530.68</t>
  </si>
  <si>
    <t>276.14, 507.95</t>
  </si>
  <si>
    <t>305.68, 472.73</t>
  </si>
  <si>
    <t>357.95, 421.02</t>
  </si>
  <si>
    <t>300.57, 532.39</t>
  </si>
  <si>
    <t>337.50, 532.95</t>
  </si>
  <si>
    <t>427.27, 566.48</t>
  </si>
  <si>
    <t>436.93, 557.95</t>
  </si>
  <si>
    <t>444.32, 543.75</t>
  </si>
  <si>
    <t>464.77, 542.05</t>
  </si>
  <si>
    <t>510.23, 514.20</t>
  </si>
  <si>
    <t>KoppabergMixedBerries</t>
  </si>
  <si>
    <t>44.56, 21.84</t>
  </si>
  <si>
    <t>43.23, 96.70</t>
  </si>
  <si>
    <t>67.74, 85.56</t>
  </si>
  <si>
    <t>90.91, 76.65</t>
  </si>
  <si>
    <t>110.52, 55.70</t>
  </si>
  <si>
    <t>133.69, 48.57</t>
  </si>
  <si>
    <t>158.65, 37.43</t>
  </si>
  <si>
    <t>186.27, 21.39</t>
  </si>
  <si>
    <t>170.23, 4.01</t>
  </si>
  <si>
    <t>108.73, 91.35</t>
  </si>
  <si>
    <t>189.84, 97.15</t>
  </si>
  <si>
    <t>87.79, 130.12</t>
  </si>
  <si>
    <t>178.70, 141.71</t>
  </si>
  <si>
    <t>250.45, 146.17</t>
  </si>
  <si>
    <t>295.01, 143.49</t>
  </si>
  <si>
    <t>363.64, 82.89</t>
  </si>
  <si>
    <t>383.69, 46.35</t>
  </si>
  <si>
    <t>396.17, 34.76</t>
  </si>
  <si>
    <t>403.74, 53.48</t>
  </si>
  <si>
    <t>436.72, 66.40</t>
  </si>
  <si>
    <t>403.74, 78.43</t>
  </si>
  <si>
    <t>387.70, 90.91</t>
  </si>
  <si>
    <t>415.33, 104.28</t>
  </si>
  <si>
    <t>328.43, 157.75</t>
  </si>
  <si>
    <t>353.39, 185.85</t>
  </si>
  <si>
    <t>339.57, 204.99</t>
  </si>
  <si>
    <t>312.83, 201.43</t>
  </si>
  <si>
    <t>271.84, 186.27</t>
  </si>
  <si>
    <t>296.97, 176.92</t>
  </si>
  <si>
    <t>82.44, 161.32</t>
  </si>
  <si>
    <t>62.39, 216.13</t>
  </si>
  <si>
    <t>23.17, 195.19</t>
  </si>
  <si>
    <t>45.45, 245.10</t>
  </si>
  <si>
    <t>28.97, 264.71</t>
  </si>
  <si>
    <t>55.70, 308.38</t>
  </si>
  <si>
    <t>PC goes over two vessels</t>
  </si>
  <si>
    <t>Distance from BP</t>
  </si>
  <si>
    <t>#BP</t>
  </si>
  <si>
    <t>Junctional PC?</t>
  </si>
  <si>
    <t>N</t>
  </si>
  <si>
    <t>-</t>
  </si>
  <si>
    <t>114.97, 330.21</t>
  </si>
  <si>
    <t>Y</t>
  </si>
  <si>
    <t>46.79, 393.05</t>
  </si>
  <si>
    <t>114.08, 340.91</t>
  </si>
  <si>
    <t>123.89, 280.75</t>
  </si>
  <si>
    <t>198.31, 256.68</t>
  </si>
  <si>
    <t>219.25, 298.13</t>
  </si>
  <si>
    <t>128.79, 392.60</t>
  </si>
  <si>
    <t>162.21, 444.30</t>
  </si>
  <si>
    <t>252.23, 365.86</t>
  </si>
  <si>
    <t>255.79, 344.92</t>
  </si>
  <si>
    <t>313.73, 358.73</t>
  </si>
  <si>
    <t>269.16, 273.17</t>
  </si>
  <si>
    <t>295.90, 288.77</t>
  </si>
  <si>
    <t>423.24, 185.38</t>
  </si>
  <si>
    <t>Maybe 3? PC over two vessels</t>
  </si>
  <si>
    <t>378.34, 289.66</t>
  </si>
  <si>
    <t>412.66, 249.55</t>
  </si>
  <si>
    <t>440.29, 226.38</t>
  </si>
  <si>
    <t>446.52, 193.40</t>
  </si>
  <si>
    <t>LucozadeSport</t>
  </si>
  <si>
    <t>84.67, 27.18</t>
  </si>
  <si>
    <t>PC off of cell?!</t>
  </si>
  <si>
    <t>133.69, 41.00</t>
  </si>
  <si>
    <t>34.76, 51.69</t>
  </si>
  <si>
    <t>46.35, 73.98</t>
  </si>
  <si>
    <t>93.14, 119.43</t>
  </si>
  <si>
    <t>130.57, 87.79</t>
  </si>
  <si>
    <t>190.73, 112.30</t>
  </si>
  <si>
    <t>246.43, 30.30</t>
  </si>
  <si>
    <t>215.69, 7.13</t>
  </si>
  <si>
    <t>286.10, 43.23</t>
  </si>
  <si>
    <t>312.83, 60.61</t>
  </si>
  <si>
    <t>363.64, 78.43</t>
  </si>
  <si>
    <t>410.43, 81.11</t>
  </si>
  <si>
    <t>412.21, 94.47</t>
  </si>
  <si>
    <t>399.73, 116.76</t>
  </si>
  <si>
    <t>407.31, 132.80</t>
  </si>
  <si>
    <t>299.47, 112.30</t>
  </si>
  <si>
    <t>372.99, 131.02</t>
  </si>
  <si>
    <t>430.04, 169.79</t>
  </si>
  <si>
    <t>409.98, 191.62</t>
  </si>
  <si>
    <t>392.60, 172.01</t>
  </si>
  <si>
    <t>307.49, 147.95</t>
  </si>
  <si>
    <t>239.75, 108.73</t>
  </si>
  <si>
    <t>189.84, 111.41</t>
  </si>
  <si>
    <t>204.10, 140.82</t>
  </si>
  <si>
    <t>235.74, 159.09</t>
  </si>
  <si>
    <t>248.66, 176.47</t>
  </si>
  <si>
    <t>205.88, 192.51</t>
  </si>
  <si>
    <t>72.19, 164.44</t>
  </si>
  <si>
    <t>20.05, 254.90</t>
  </si>
  <si>
    <t>49.02, 239.75</t>
  </si>
  <si>
    <t>149.73, 223.26</t>
  </si>
  <si>
    <t>182.26, 214.35</t>
  </si>
  <si>
    <t>208.56, 212.57</t>
  </si>
  <si>
    <t>281.64, 209.00</t>
  </si>
  <si>
    <t>291.44, 217.47</t>
  </si>
  <si>
    <t>288.77, 231.73</t>
  </si>
  <si>
    <t>275.40, 237.08</t>
  </si>
  <si>
    <t>219.25, 258.91</t>
  </si>
  <si>
    <t>188.95, 294.12</t>
  </si>
  <si>
    <t>166.67, 287.88</t>
  </si>
  <si>
    <t>96.26, 253.12</t>
  </si>
  <si>
    <t>56.15, 296.79</t>
  </si>
  <si>
    <t>11.59, 329.77</t>
  </si>
  <si>
    <t>64.62, 330.66</t>
  </si>
  <si>
    <t>80.21, 340.91</t>
  </si>
  <si>
    <t>147.95, 324.42</t>
  </si>
  <si>
    <t>82.44, 395.72</t>
  </si>
  <si>
    <t>38.32, 426.47</t>
  </si>
  <si>
    <t>146.61, 400.18</t>
  </si>
  <si>
    <t>165.78, 348.04</t>
  </si>
  <si>
    <t>195.19, 363.64</t>
  </si>
  <si>
    <t>y</t>
  </si>
  <si>
    <t>197.86, 405.53</t>
  </si>
  <si>
    <t>248.22, 403.30</t>
  </si>
  <si>
    <t>270.05, 415.33</t>
  </si>
  <si>
    <t>266.49, 278.07</t>
  </si>
  <si>
    <t>378.79, 211.23</t>
  </si>
  <si>
    <t>431.82, 217.47</t>
  </si>
  <si>
    <t>421.57, 254.90</t>
  </si>
  <si>
    <t>367.20, 268.27</t>
  </si>
  <si>
    <t>359.18, 315.51</t>
  </si>
  <si>
    <t>346.26, 276.74</t>
  </si>
  <si>
    <t>362.30, 342.25</t>
  </si>
  <si>
    <t>351.16, 380.57</t>
  </si>
  <si>
    <t>407.31, 406.86</t>
  </si>
  <si>
    <t>McDonaldsBurgerRelish</t>
  </si>
  <si>
    <t>61.36, 31.82</t>
  </si>
  <si>
    <t>39.20, 75.57</t>
  </si>
  <si>
    <t>96.59, 29.55</t>
  </si>
  <si>
    <t>221.02, 15.91</t>
  </si>
  <si>
    <t>117.84, 75.57</t>
  </si>
  <si>
    <t>300, 76.14</t>
  </si>
  <si>
    <t>207.95, 107.95</t>
  </si>
  <si>
    <t>373.30, 77.27</t>
  </si>
  <si>
    <t>maybe 2 PC?</t>
  </si>
  <si>
    <t>440.91, 54.55</t>
  </si>
  <si>
    <t>427.27, 93.75</t>
  </si>
  <si>
    <t>475.57, 73.86</t>
  </si>
  <si>
    <t>519.32, 61.93</t>
  </si>
  <si>
    <t>427.27, 125.57</t>
  </si>
  <si>
    <t>476.14, 115.91</t>
  </si>
  <si>
    <t>447.73, 138.64</t>
  </si>
  <si>
    <t>530.68, 132.39</t>
  </si>
  <si>
    <t>373.30, 163.64</t>
  </si>
  <si>
    <t>426.14, 166.48</t>
  </si>
  <si>
    <t>526.14, 238.64</t>
  </si>
  <si>
    <t>402.27, 177.27</t>
  </si>
  <si>
    <t>406.82, 197.73</t>
  </si>
  <si>
    <t>361.36, 193.75</t>
  </si>
  <si>
    <t>316.48, 178.41</t>
  </si>
  <si>
    <t>277.84, 146.59</t>
  </si>
  <si>
    <t>223.303, 144.32</t>
  </si>
  <si>
    <t>184.09, 138.64</t>
  </si>
  <si>
    <t>184.09, 132.39</t>
  </si>
  <si>
    <t>97.73, 114.77</t>
  </si>
  <si>
    <t>14.20, 175.57</t>
  </si>
  <si>
    <t>221.02, 196.02</t>
  </si>
  <si>
    <t>210.23, 225.57</t>
  </si>
  <si>
    <t>Closer to another junction = 4.183, but measured to junction PC processes were over</t>
  </si>
  <si>
    <t>173.30, 223.30</t>
  </si>
  <si>
    <t>136.36, 230.68</t>
  </si>
  <si>
    <t>93.18, 236.36</t>
  </si>
  <si>
    <t>87.50, 239.77</t>
  </si>
  <si>
    <t>Not sure on where PC cell body is</t>
  </si>
  <si>
    <t>126.14, 300.00</t>
  </si>
  <si>
    <t>98.30, 300.00</t>
  </si>
  <si>
    <t>Closer to another junction = 7.447, but measured to junction PC processes were over</t>
  </si>
  <si>
    <t>77.27, 341.48</t>
  </si>
  <si>
    <t>139.20, 380.11</t>
  </si>
  <si>
    <t>164.20, 416.48</t>
  </si>
  <si>
    <t>205.68, 397.73</t>
  </si>
  <si>
    <t>278.41, 368.18</t>
  </si>
  <si>
    <t>16.48, 382.95</t>
  </si>
  <si>
    <t>77.27, 448.30</t>
  </si>
  <si>
    <t>112.50, 461.36</t>
  </si>
  <si>
    <t>120.45, 479.55</t>
  </si>
  <si>
    <t>98.86, 416.48</t>
  </si>
  <si>
    <t>154.55, 453.41</t>
  </si>
  <si>
    <t>55.11, 523.30</t>
  </si>
  <si>
    <t>70.45, 513.64</t>
  </si>
  <si>
    <t>161.93, 516.48</t>
  </si>
  <si>
    <t>164.20, 505.11</t>
  </si>
  <si>
    <t>200.00, 534.09</t>
  </si>
  <si>
    <t>136.93, 557.39</t>
  </si>
  <si>
    <t>293.18, 282.39</t>
  </si>
  <si>
    <t>386.36, 282.95</t>
  </si>
  <si>
    <t>393.18, 252.27</t>
  </si>
  <si>
    <t>447.73, 360.23</t>
  </si>
  <si>
    <t>414.20, 420.45</t>
  </si>
  <si>
    <t>494.32, 309.09</t>
  </si>
  <si>
    <t>502.84, 284.09</t>
  </si>
  <si>
    <t>457.95, 264.20</t>
  </si>
  <si>
    <t>514.20, 362.50</t>
  </si>
  <si>
    <t>548.30, 426.14</t>
  </si>
  <si>
    <t>PC cell body over two vessels</t>
  </si>
  <si>
    <t>475.00, 457.39</t>
  </si>
  <si>
    <t>MeltedCamembert</t>
  </si>
  <si>
    <t>121.02, 36.93</t>
  </si>
  <si>
    <t>19.32, 73.30</t>
  </si>
  <si>
    <t>7.95, 131.82</t>
  </si>
  <si>
    <t>21.59, 196.02</t>
  </si>
  <si>
    <t>87.50, 236.93</t>
  </si>
  <si>
    <t>153.41, 197.73</t>
  </si>
  <si>
    <t>197.73, 182.39</t>
  </si>
  <si>
    <t>234.09, 156.82</t>
  </si>
  <si>
    <t>293.18, 201.14</t>
  </si>
  <si>
    <t>275, 142.05</t>
  </si>
  <si>
    <t>280.68, 101.14</t>
  </si>
  <si>
    <t>290.91, 51.15</t>
  </si>
  <si>
    <t>336.93, 66.48</t>
  </si>
  <si>
    <t>363.64, 73.86</t>
  </si>
  <si>
    <t>357.39, 59.66</t>
  </si>
  <si>
    <t>389.77, 26.14</t>
  </si>
  <si>
    <t>461.93, 48.30</t>
  </si>
  <si>
    <t>514.20, 73.30</t>
  </si>
  <si>
    <t>479.55, 106.82</t>
  </si>
  <si>
    <t>527.27, 111.93</t>
  </si>
  <si>
    <t>457.39, 177.27</t>
  </si>
  <si>
    <t>376.14, 162.50</t>
  </si>
  <si>
    <t>323.30, 205.11</t>
  </si>
  <si>
    <t>247.73, 218.18</t>
  </si>
  <si>
    <t>327.84, 270.45</t>
  </si>
  <si>
    <t>368.75, 266.48</t>
  </si>
  <si>
    <t>347.73, 309.09</t>
  </si>
  <si>
    <t>539.20, 280.68</t>
  </si>
  <si>
    <t>459.66, 318.75</t>
  </si>
  <si>
    <t>456.82, 380.11</t>
  </si>
  <si>
    <t>423.30, 425.00</t>
  </si>
  <si>
    <t>356.82, 414.77</t>
  </si>
  <si>
    <t>486.36, 429.55</t>
  </si>
  <si>
    <t>425.57, 490.91</t>
  </si>
  <si>
    <t>289.20, 491.48</t>
  </si>
  <si>
    <t>352.84, 536.93</t>
  </si>
  <si>
    <t>307.95, 551.14</t>
  </si>
  <si>
    <t>405.11, 570.45</t>
  </si>
  <si>
    <t>173.30, 353.41</t>
  </si>
  <si>
    <t>45.45, 375.57</t>
  </si>
  <si>
    <t>50.00, 407.39</t>
  </si>
  <si>
    <t>109.66, 423.30</t>
  </si>
  <si>
    <t>TwisterLolly</t>
  </si>
  <si>
    <t>20.50, 41.89</t>
  </si>
  <si>
    <t>102.05, 10.70</t>
  </si>
  <si>
    <t>136.36, 24.06</t>
  </si>
  <si>
    <t>94.47, 32.09</t>
  </si>
  <si>
    <t>I</t>
  </si>
  <si>
    <t>163.99, 11.59</t>
  </si>
  <si>
    <t>143.05, 38.32</t>
  </si>
  <si>
    <t>98.04, 84.67</t>
  </si>
  <si>
    <t>71.30, 134.58</t>
  </si>
  <si>
    <t>61.50, 122.10</t>
  </si>
  <si>
    <t>53.92, 155.97</t>
  </si>
  <si>
    <t>79.32, 139.93</t>
  </si>
  <si>
    <t>138.15, 139.93</t>
  </si>
  <si>
    <t>107.40, 194.30</t>
  </si>
  <si>
    <t>118.54, 193.40</t>
  </si>
  <si>
    <t>171.57, 66.84</t>
  </si>
  <si>
    <t>180.04, 68.63</t>
  </si>
  <si>
    <t>190.73, 90.91</t>
  </si>
  <si>
    <t>195.19, 57.49</t>
  </si>
  <si>
    <t>207.22, 44.56</t>
  </si>
  <si>
    <t>231.73, 35.65</t>
  </si>
  <si>
    <t>242.87, 26.74</t>
  </si>
  <si>
    <t>314.17, 7.58</t>
  </si>
  <si>
    <t>385.47, 29.41</t>
  </si>
  <si>
    <t>401.51, 28.52</t>
  </si>
  <si>
    <t>421.12, 38.32</t>
  </si>
  <si>
    <t>430.04, 39.66</t>
  </si>
  <si>
    <t>PC across two vessels</t>
  </si>
  <si>
    <t>428.70, 52.14</t>
  </si>
  <si>
    <t>449.64, 120.32</t>
  </si>
  <si>
    <t>425.13, 105.17</t>
  </si>
  <si>
    <t>382.35, 88.24</t>
  </si>
  <si>
    <t>347.59, 100.71</t>
  </si>
  <si>
    <t>317.29, 86.45</t>
  </si>
  <si>
    <t>261.14, 122.10</t>
  </si>
  <si>
    <t>217.91, 92.69</t>
  </si>
  <si>
    <t>72.19, 178.70</t>
  </si>
  <si>
    <t>40.11, 215.58</t>
  </si>
  <si>
    <t>186.27, 178.70</t>
  </si>
  <si>
    <t>229.06, 179.14</t>
  </si>
  <si>
    <t>214.79, 153.74</t>
  </si>
  <si>
    <t>261.14, 137.25</t>
  </si>
  <si>
    <t>322.64, 114.08</t>
  </si>
  <si>
    <t>332.00, 153.74</t>
  </si>
  <si>
    <t>379.68, 134.14</t>
  </si>
  <si>
    <t>356.95, 139.04</t>
  </si>
  <si>
    <t>214.35, 230.84</t>
  </si>
  <si>
    <t>203.65, 213.01</t>
  </si>
  <si>
    <t>149.73, 229.95</t>
  </si>
  <si>
    <t>51.69, 248.22</t>
  </si>
  <si>
    <t>39.66, 312.39</t>
  </si>
  <si>
    <t>66.84, 253.12</t>
  </si>
  <si>
    <t>32.53, 337.79</t>
  </si>
  <si>
    <t>93.14, 344.92</t>
  </si>
  <si>
    <t>41.44, 401.96</t>
  </si>
  <si>
    <t>55.70, 399.29</t>
  </si>
  <si>
    <t>57.49, 436.72</t>
  </si>
  <si>
    <t>119.43, 440.73</t>
  </si>
  <si>
    <t>145.83, 386.81</t>
  </si>
  <si>
    <t>136.36, 360.52</t>
  </si>
  <si>
    <t>186.27, 323.08</t>
  </si>
  <si>
    <t>238.86, 244.21</t>
  </si>
  <si>
    <t>236.19, 286.10</t>
  </si>
  <si>
    <t>236.19, 306.60</t>
  </si>
  <si>
    <t>221.48, 352.94</t>
  </si>
  <si>
    <t>237.52, 413.99</t>
  </si>
  <si>
    <t>257.13, 351.60</t>
  </si>
  <si>
    <t>286.10, 356.51</t>
  </si>
  <si>
    <t>294.12, 354.72</t>
  </si>
  <si>
    <t>277.18, 296.79</t>
  </si>
  <si>
    <t>324.42, 343.14</t>
  </si>
  <si>
    <t>338.68, 384.14</t>
  </si>
  <si>
    <t>301.25, 445.63</t>
  </si>
  <si>
    <t>344.47, 416.22</t>
  </si>
  <si>
    <t>416.22, 411.76</t>
  </si>
  <si>
    <t>386.81, 389.04</t>
  </si>
  <si>
    <t>388.59, 350.27</t>
  </si>
  <si>
    <t>302.14, 326.65</t>
  </si>
  <si>
    <t>335.12, 319.07</t>
  </si>
  <si>
    <t>337.79, 277.18</t>
  </si>
  <si>
    <t>328.43, 255.35</t>
  </si>
  <si>
    <t>328.88, 234.40</t>
  </si>
  <si>
    <t>348.48, 213.90</t>
  </si>
  <si>
    <t>403.30, 207.66</t>
  </si>
  <si>
    <t>442.07, 178.70</t>
  </si>
  <si>
    <t>431.82, 243.32</t>
  </si>
  <si>
    <t>381.46, 242.87</t>
  </si>
  <si>
    <t>365.86, 298.57</t>
  </si>
  <si>
    <t>422.46, 308.82</t>
  </si>
  <si>
    <t>EZ1L</t>
  </si>
  <si>
    <t>EY1L</t>
  </si>
  <si>
    <t>Section</t>
  </si>
  <si>
    <t>4a</t>
  </si>
  <si>
    <t>Ctx</t>
  </si>
  <si>
    <t>2b</t>
  </si>
  <si>
    <t>Hpc</t>
  </si>
  <si>
    <t>SEM Ctx</t>
  </si>
  <si>
    <t>SEM Hpc</t>
  </si>
  <si>
    <t>Ctx %</t>
  </si>
  <si>
    <t>Hpc %</t>
  </si>
  <si>
    <t>Total</t>
  </si>
  <si>
    <t>70, 144</t>
  </si>
  <si>
    <t>diving arteriole</t>
  </si>
  <si>
    <t>81, 74</t>
  </si>
  <si>
    <t>451, 394</t>
  </si>
  <si>
    <t>197, 404</t>
  </si>
  <si>
    <t>207, 111</t>
  </si>
  <si>
    <t>75, 112</t>
  </si>
  <si>
    <t>265, 322</t>
  </si>
  <si>
    <t>358, 212</t>
  </si>
  <si>
    <t>430, 227</t>
  </si>
  <si>
    <t>332, 278</t>
  </si>
  <si>
    <t>343, 152</t>
  </si>
  <si>
    <t>BaoBunsPork</t>
  </si>
  <si>
    <t>32, 264</t>
  </si>
  <si>
    <t>Kira</t>
  </si>
  <si>
    <t>204, 180</t>
  </si>
  <si>
    <t>150, 230</t>
  </si>
  <si>
    <t>158, 333</t>
  </si>
  <si>
    <t>339, 280</t>
  </si>
  <si>
    <t>18, 257</t>
  </si>
  <si>
    <t>78, 301</t>
  </si>
  <si>
    <t>ChickenFriedRice</t>
  </si>
  <si>
    <t>134, 5</t>
  </si>
  <si>
    <t>163, 25</t>
  </si>
  <si>
    <t>182, 22</t>
  </si>
  <si>
    <t>238, 32</t>
  </si>
  <si>
    <t>328, 8</t>
  </si>
  <si>
    <t>39, 68</t>
  </si>
  <si>
    <t>233, 99</t>
  </si>
  <si>
    <t>323, 116</t>
  </si>
  <si>
    <t>433, 273</t>
  </si>
  <si>
    <t>278, 257</t>
  </si>
  <si>
    <t>225, 250</t>
  </si>
  <si>
    <t>ChickenJalfrezi</t>
  </si>
  <si>
    <t>317, 76</t>
  </si>
  <si>
    <t>267, 55</t>
  </si>
  <si>
    <t>22, 190</t>
  </si>
  <si>
    <t>317, 418</t>
  </si>
  <si>
    <t>DauphinoisPotato</t>
  </si>
  <si>
    <t>98, 397</t>
  </si>
  <si>
    <t>KrispyKreme</t>
  </si>
  <si>
    <t>PoshKebab</t>
  </si>
  <si>
    <t>M13</t>
  </si>
  <si>
    <t>M14</t>
  </si>
  <si>
    <t>M7</t>
  </si>
  <si>
    <t>NP</t>
  </si>
  <si>
    <t>293, 54</t>
  </si>
  <si>
    <t>311, 71</t>
  </si>
  <si>
    <t>329,83</t>
  </si>
  <si>
    <t>92, 152</t>
  </si>
  <si>
    <t>88, 163</t>
  </si>
  <si>
    <t>95, 154</t>
  </si>
  <si>
    <t>87, 169</t>
  </si>
  <si>
    <t>86, 176</t>
  </si>
  <si>
    <t>84, 174</t>
  </si>
  <si>
    <t>82, 182</t>
  </si>
  <si>
    <t>79, 185</t>
  </si>
  <si>
    <t>80, 186</t>
  </si>
  <si>
    <t>66, 212</t>
  </si>
  <si>
    <t>One of the branches</t>
  </si>
  <si>
    <t>82, 166</t>
  </si>
  <si>
    <t>32, 39</t>
  </si>
  <si>
    <t>87, 139</t>
  </si>
  <si>
    <t>187, 71</t>
  </si>
  <si>
    <t>233, 35</t>
  </si>
  <si>
    <t>203, 158</t>
  </si>
  <si>
    <t>219, 198</t>
  </si>
  <si>
    <t>249, 105</t>
  </si>
  <si>
    <t>282, 84</t>
  </si>
  <si>
    <t>408, 39</t>
  </si>
  <si>
    <t>426, 62</t>
  </si>
  <si>
    <t>326, 33</t>
  </si>
  <si>
    <t>362, 87</t>
  </si>
  <si>
    <t>337, 90</t>
  </si>
  <si>
    <t>269, 229</t>
  </si>
  <si>
    <t>400, 271</t>
  </si>
  <si>
    <t>262, 98</t>
  </si>
  <si>
    <t>308, 362</t>
  </si>
  <si>
    <t>232, 358</t>
  </si>
  <si>
    <t>258, 323</t>
  </si>
  <si>
    <t>363, 418</t>
  </si>
  <si>
    <t>53, 431</t>
  </si>
  <si>
    <t>98, 405</t>
  </si>
  <si>
    <t>186, 351</t>
  </si>
  <si>
    <t>171, 305</t>
  </si>
  <si>
    <t>238, 276</t>
  </si>
  <si>
    <t>97, 286</t>
  </si>
  <si>
    <t>37, 301</t>
  </si>
  <si>
    <t>96, 235</t>
  </si>
  <si>
    <t>41, 226</t>
  </si>
  <si>
    <t>42, 34</t>
  </si>
  <si>
    <t>356, 330</t>
  </si>
  <si>
    <t>110, 35</t>
  </si>
  <si>
    <t>221, 39</t>
  </si>
  <si>
    <t>231, 57</t>
  </si>
  <si>
    <t>312, 43</t>
  </si>
  <si>
    <t>280, 87</t>
  </si>
  <si>
    <t>146, 119</t>
  </si>
  <si>
    <t>185, 110</t>
  </si>
  <si>
    <t>193, 123</t>
  </si>
  <si>
    <t>226, 157</t>
  </si>
  <si>
    <t>91, 118</t>
  </si>
  <si>
    <t>57, 158</t>
  </si>
  <si>
    <t>271, 185</t>
  </si>
  <si>
    <t>385, 73</t>
  </si>
  <si>
    <t>382, 119</t>
  </si>
  <si>
    <t>377, 154</t>
  </si>
  <si>
    <t>301, 196</t>
  </si>
  <si>
    <t>380, 243</t>
  </si>
  <si>
    <t>289, 264</t>
  </si>
  <si>
    <t>244, 241</t>
  </si>
  <si>
    <t>162, 235</t>
  </si>
  <si>
    <t>186, 259</t>
  </si>
  <si>
    <t>246, 282</t>
  </si>
  <si>
    <t>221, 319</t>
  </si>
  <si>
    <t>141, 331</t>
  </si>
  <si>
    <t>119, 331</t>
  </si>
  <si>
    <t>76, 340</t>
  </si>
  <si>
    <t>84, 314</t>
  </si>
  <si>
    <t>105, 281</t>
  </si>
  <si>
    <t>14, 311</t>
  </si>
  <si>
    <t>63, 417</t>
  </si>
  <si>
    <t>Vessel Type (1 (art), 2 (precap), 3 (cap), 4 (vein), or 5 (venule))</t>
  </si>
  <si>
    <t>17, 327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</si>
</sst>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1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/>
    <xf numFmtId="3" fontId="0" fillId="0" borderId="0" xfId="0" applyNumberFormat="1"/>
    <xf numFmtId="0" fontId="0" fillId="0" borderId="0" xfId="0" applyFill="1" applyBorder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NumberFormat="1" applyFont="1"/>
    <xf numFmtId="3" fontId="0" fillId="0" borderId="0" xfId="0" applyNumberFormat="1" applyFont="1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 no. of cells Ctx vs</a:t>
            </a:r>
            <a:r>
              <a:rPr lang="en-GB" baseline="0"/>
              <a:t> Hpc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Analysis!$R$110</c:f>
              <c:strCache>
                <c:ptCount val="1"/>
                <c:pt idx="0">
                  <c:v>Ctx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strRef>
              <c:f>Analysis!$Q$111</c:f>
              <c:strCache>
                <c:ptCount val="1"/>
                <c:pt idx="0">
                  <c:v>Total cells</c:v>
                </c:pt>
              </c:strCache>
            </c:strRef>
          </c:cat>
          <c:val>
            <c:numRef>
              <c:f>Analysis!$R$111</c:f>
              <c:numCache>
                <c:formatCode>General</c:formatCode>
                <c:ptCount val="1"/>
                <c:pt idx="0">
                  <c:v>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97-4DDD-8E1B-428279059AB8}"/>
            </c:ext>
          </c:extLst>
        </c:ser>
        <c:ser>
          <c:idx val="1"/>
          <c:order val="1"/>
          <c:tx>
            <c:strRef>
              <c:f>Analysis!$S$110</c:f>
              <c:strCache>
                <c:ptCount val="1"/>
                <c:pt idx="0">
                  <c:v>Hpc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rgbClr val="7030A0"/>
              </a:solidFill>
            </a:ln>
            <a:effectLst/>
          </c:spPr>
          <c:invertIfNegative val="0"/>
          <c:cat>
            <c:strRef>
              <c:f>Analysis!$Q$111</c:f>
              <c:strCache>
                <c:ptCount val="1"/>
                <c:pt idx="0">
                  <c:v>Total cells</c:v>
                </c:pt>
              </c:strCache>
            </c:strRef>
          </c:cat>
          <c:val>
            <c:numRef>
              <c:f>Analysis!$S$111</c:f>
              <c:numCache>
                <c:formatCode>General</c:formatCode>
                <c:ptCount val="1"/>
                <c:pt idx="0">
                  <c:v>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97-4DDD-8E1B-428279059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1677696"/>
        <c:axId val="551678024"/>
      </c:barChart>
      <c:catAx>
        <c:axId val="551677696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Region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551678024"/>
        <c:crosses val="autoZero"/>
        <c:auto val="1"/>
        <c:lblAlgn val="ctr"/>
        <c:lblOffset val="100"/>
        <c:noMultiLvlLbl val="0"/>
      </c:catAx>
      <c:valAx>
        <c:axId val="551678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Total no. of Cells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677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Ave.</a:t>
            </a:r>
            <a:r>
              <a:rPr lang="en-GB" baseline="0"/>
              <a:t> vessel diameter Ctx vs Hpc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Analysis!$R$110</c:f>
              <c:strCache>
                <c:ptCount val="1"/>
                <c:pt idx="0">
                  <c:v>Ctx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Analysis!$R$144:$T$144</c:f>
                <c:numCache>
                  <c:formatCode>General</c:formatCode>
                  <c:ptCount val="3"/>
                  <c:pt idx="0">
                    <c:v>0.12070273262621053</c:v>
                  </c:pt>
                  <c:pt idx="1">
                    <c:v>0.10118957450001748</c:v>
                  </c:pt>
                  <c:pt idx="2">
                    <c:v>0.14595010781983631</c:v>
                  </c:pt>
                </c:numCache>
              </c:numRef>
            </c:plus>
            <c:minus>
              <c:numRef>
                <c:f>Analysis!$R$144:$T$144</c:f>
                <c:numCache>
                  <c:formatCode>General</c:formatCode>
                  <c:ptCount val="3"/>
                  <c:pt idx="0">
                    <c:v>0.12070273262621053</c:v>
                  </c:pt>
                  <c:pt idx="1">
                    <c:v>0.10118957450001748</c:v>
                  </c:pt>
                  <c:pt idx="2">
                    <c:v>0.14595010781983631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Analysis!$R$119:$T$119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4</c:v>
                </c:pt>
              </c:numCache>
            </c:numRef>
          </c:cat>
          <c:val>
            <c:numRef>
              <c:f>Analysis!$R$143:$T$143</c:f>
              <c:numCache>
                <c:formatCode>General</c:formatCode>
                <c:ptCount val="3"/>
                <c:pt idx="0">
                  <c:v>2.9898937158469949</c:v>
                </c:pt>
                <c:pt idx="1">
                  <c:v>3.4390531531531532</c:v>
                </c:pt>
                <c:pt idx="2">
                  <c:v>3.6474459770114929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9C-4B61-B529-DF1123AAF99B}"/>
            </c:ext>
          </c:extLst>
        </c:ser>
        <c:ser>
          <c:idx val="1"/>
          <c:order val="1"/>
          <c:tx>
            <c:strRef>
              <c:f>Analysis!$S$110</c:f>
              <c:strCache>
                <c:ptCount val="1"/>
                <c:pt idx="0">
                  <c:v>Hpc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Analysis!$R$146:$T$146</c:f>
                <c:numCache>
                  <c:formatCode>General</c:formatCode>
                  <c:ptCount val="3"/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</c:numCache>
              </c:numRef>
            </c:plus>
            <c:minus>
              <c:numRef>
                <c:f>Analysis!$R$146:$T$146</c:f>
                <c:numCache>
                  <c:formatCode>General</c:formatCode>
                  <c:ptCount val="3"/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Analysis!$R$119:$T$119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4</c:v>
                </c:pt>
              </c:numCache>
            </c:numRef>
          </c:cat>
          <c:val>
            <c:numRef>
              <c:f>Analysis!$R$145:$T$145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5B9C-4B61-B529-DF1123AAF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4213792"/>
        <c:axId val="461798984"/>
      </c:barChart>
      <c:catAx>
        <c:axId val="464213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Cell type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798984"/>
        <c:crosses val="autoZero"/>
        <c:auto val="1"/>
        <c:lblAlgn val="ctr"/>
        <c:lblOffset val="100"/>
        <c:noMultiLvlLbl val="0"/>
      </c:catAx>
      <c:valAx>
        <c:axId val="461798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Ave. Vessel Diameter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213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Ave.</a:t>
            </a:r>
            <a:r>
              <a:rPr lang="en-GB" baseline="0"/>
              <a:t> no. branch points Ctx vs Hpc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Analysis!$R$110</c:f>
              <c:strCache>
                <c:ptCount val="1"/>
                <c:pt idx="0">
                  <c:v>Ctx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Analysis!$R$152:$T$152</c:f>
                <c:numCache>
                  <c:formatCode>General</c:formatCode>
                  <c:ptCount val="3"/>
                </c:numCache>
              </c:numRef>
            </c:plus>
            <c:minus>
              <c:numRef>
                <c:f>Analysis!$R$152:$T$152</c:f>
                <c:numCache>
                  <c:formatCode>General</c:formatCode>
                  <c:ptCount val="3"/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Analysis!$R$119:$T$119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4</c:v>
                </c:pt>
              </c:numCache>
            </c:numRef>
          </c:cat>
          <c:val>
            <c:numRef>
              <c:f>Analysis!$R$151:$T$151</c:f>
              <c:numCache>
                <c:formatCode>General</c:formatCode>
                <c:ptCount val="3"/>
                <c:pt idx="0">
                  <c:v>0.11787329844096754</c:v>
                </c:pt>
                <c:pt idx="1">
                  <c:v>6.2653248458087243E-2</c:v>
                </c:pt>
                <c:pt idx="2">
                  <c:v>8.149173998687223E-2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53-42D2-8455-A0A2FF3B4D17}"/>
            </c:ext>
          </c:extLst>
        </c:ser>
        <c:ser>
          <c:idx val="1"/>
          <c:order val="1"/>
          <c:tx>
            <c:strRef>
              <c:f>Analysis!$S$110</c:f>
              <c:strCache>
                <c:ptCount val="1"/>
                <c:pt idx="0">
                  <c:v>Hpc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Analysis!$R$154:$T$154</c:f>
                <c:numCache>
                  <c:formatCode>General</c:formatCode>
                  <c:ptCount val="3"/>
                  <c:pt idx="0">
                    <c:v>0.15847218216721798</c:v>
                  </c:pt>
                  <c:pt idx="1">
                    <c:v>6.6948351663088018E-2</c:v>
                  </c:pt>
                  <c:pt idx="2">
                    <c:v>9.9387571957916684E-2</c:v>
                  </c:pt>
                </c:numCache>
              </c:numRef>
            </c:plus>
            <c:minus>
              <c:numRef>
                <c:f>Analysis!$R$154:$T$154</c:f>
                <c:numCache>
                  <c:formatCode>General</c:formatCode>
                  <c:ptCount val="3"/>
                  <c:pt idx="0">
                    <c:v>0.15847218216721798</c:v>
                  </c:pt>
                  <c:pt idx="1">
                    <c:v>6.6948351663088018E-2</c:v>
                  </c:pt>
                  <c:pt idx="2">
                    <c:v>9.9387571957916684E-2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Analysis!$R$119:$T$119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4</c:v>
                </c:pt>
              </c:numCache>
            </c:numRef>
          </c:cat>
          <c:val>
            <c:numRef>
              <c:f>Analysis!$R$153:$T$153</c:f>
              <c:numCache>
                <c:formatCode>General</c:formatCode>
                <c:ptCount val="3"/>
                <c:pt idx="0">
                  <c:v>1.2962962962962963</c:v>
                </c:pt>
                <c:pt idx="1">
                  <c:v>1.1764705882352942</c:v>
                </c:pt>
                <c:pt idx="2">
                  <c:v>0.90361445783132532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53-42D2-8455-A0A2FF3B4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4213792"/>
        <c:axId val="461798984"/>
      </c:barChart>
      <c:catAx>
        <c:axId val="464213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Cell type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798984"/>
        <c:crosses val="autoZero"/>
        <c:auto val="1"/>
        <c:lblAlgn val="ctr"/>
        <c:lblOffset val="100"/>
        <c:noMultiLvlLbl val="0"/>
      </c:catAx>
      <c:valAx>
        <c:axId val="461798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Ave. No. Branch</a:t>
                </a:r>
                <a:r>
                  <a:rPr lang="en-GB" baseline="0"/>
                  <a:t> Points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213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Ave. no.</a:t>
            </a:r>
            <a:r>
              <a:rPr lang="en-GB" baseline="0"/>
              <a:t> of branch points </a:t>
            </a:r>
            <a:r>
              <a:rPr lang="en-GB"/>
              <a:t>Ctx vs</a:t>
            </a:r>
            <a:r>
              <a:rPr lang="en-GB" baseline="0"/>
              <a:t> Hpc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Analysis!$R$110</c:f>
              <c:strCache>
                <c:ptCount val="1"/>
                <c:pt idx="0">
                  <c:v>Ctx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Analysis!$T$112</c:f>
                <c:numCache>
                  <c:formatCode>General</c:formatCode>
                  <c:ptCount val="1"/>
                  <c:pt idx="0">
                    <c:v>5.3091812531616732E-2</c:v>
                  </c:pt>
                </c:numCache>
              </c:numRef>
            </c:plus>
            <c:minus>
              <c:numRef>
                <c:f>Analysis!$T$112</c:f>
                <c:numCache>
                  <c:formatCode>General</c:formatCode>
                  <c:ptCount val="1"/>
                  <c:pt idx="0">
                    <c:v>5.3091812531616732E-2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Analysis!$Q$111</c:f>
              <c:strCache>
                <c:ptCount val="1"/>
                <c:pt idx="0">
                  <c:v>Total cells</c:v>
                </c:pt>
              </c:strCache>
            </c:strRef>
          </c:cat>
          <c:val>
            <c:numRef>
              <c:f>Analysis!$R$112</c:f>
              <c:numCache>
                <c:formatCode>General</c:formatCode>
                <c:ptCount val="1"/>
                <c:pt idx="0">
                  <c:v>0.98465473145780047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4-4E78-9E22-EA3CE11103F8}"/>
            </c:ext>
          </c:extLst>
        </c:ser>
        <c:ser>
          <c:idx val="1"/>
          <c:order val="1"/>
          <c:tx>
            <c:strRef>
              <c:f>Analysis!$S$110</c:f>
              <c:strCache>
                <c:ptCount val="1"/>
                <c:pt idx="0">
                  <c:v>Hpc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rgbClr val="7030A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Analysis!$U$112</c:f>
                <c:numCache>
                  <c:formatCode>General</c:formatCode>
                  <c:ptCount val="1"/>
                  <c:pt idx="0">
                    <c:v>5.3091812531616732E-2</c:v>
                  </c:pt>
                </c:numCache>
              </c:numRef>
            </c:plus>
            <c:minus>
              <c:numRef>
                <c:f>Analysis!$U$112</c:f>
                <c:numCache>
                  <c:formatCode>General</c:formatCode>
                  <c:ptCount val="1"/>
                  <c:pt idx="0">
                    <c:v>5.3091812531616732E-2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Analysis!$Q$111</c:f>
              <c:strCache>
                <c:ptCount val="1"/>
                <c:pt idx="0">
                  <c:v>Total cells</c:v>
                </c:pt>
              </c:strCache>
            </c:strRef>
          </c:cat>
          <c:val>
            <c:numRef>
              <c:f>Analysis!$S$112</c:f>
              <c:numCache>
                <c:formatCode>General</c:formatCode>
                <c:ptCount val="1"/>
                <c:pt idx="0">
                  <c:v>1.102661596958175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F4-4E78-9E22-EA3CE1110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1677696"/>
        <c:axId val="551678024"/>
      </c:barChart>
      <c:catAx>
        <c:axId val="551677696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Region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551678024"/>
        <c:crosses val="autoZero"/>
        <c:auto val="1"/>
        <c:lblAlgn val="ctr"/>
        <c:lblOffset val="100"/>
        <c:noMultiLvlLbl val="0"/>
      </c:catAx>
      <c:valAx>
        <c:axId val="551678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Ave. No. of Brnach Points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677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Ave. vessel diameter Ctx vs</a:t>
            </a:r>
            <a:r>
              <a:rPr lang="en-GB" baseline="0"/>
              <a:t> Hpc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Analysis!$R$110</c:f>
              <c:strCache>
                <c:ptCount val="1"/>
                <c:pt idx="0">
                  <c:v>Ctx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Analysis!$T$113</c:f>
                <c:numCache>
                  <c:formatCode>General</c:formatCode>
                  <c:ptCount val="1"/>
                  <c:pt idx="0">
                    <c:v>0.10167751974470014</c:v>
                  </c:pt>
                </c:numCache>
              </c:numRef>
            </c:plus>
            <c:minus>
              <c:numRef>
                <c:f>Analysis!$T$113</c:f>
                <c:numCache>
                  <c:formatCode>General</c:formatCode>
                  <c:ptCount val="1"/>
                  <c:pt idx="0">
                    <c:v>0.10167751974470014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Analysis!$Q$111</c:f>
              <c:strCache>
                <c:ptCount val="1"/>
                <c:pt idx="0">
                  <c:v>Total cells</c:v>
                </c:pt>
              </c:strCache>
            </c:strRef>
          </c:cat>
          <c:val>
            <c:numRef>
              <c:f>Analysis!$R$113</c:f>
              <c:numCache>
                <c:formatCode>General</c:formatCode>
                <c:ptCount val="1"/>
                <c:pt idx="0">
                  <c:v>3.4462609121909598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5D-448D-BD80-9C5515A99344}"/>
            </c:ext>
          </c:extLst>
        </c:ser>
        <c:ser>
          <c:idx val="1"/>
          <c:order val="1"/>
          <c:tx>
            <c:strRef>
              <c:f>Analysis!$S$110</c:f>
              <c:strCache>
                <c:ptCount val="1"/>
                <c:pt idx="0">
                  <c:v>Hpc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rgbClr val="7030A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Analysis!$U$113</c:f>
                <c:numCache>
                  <c:formatCode>General</c:formatCode>
                  <c:ptCount val="1"/>
                  <c:pt idx="0">
                    <c:v>0.11058759102035598</c:v>
                  </c:pt>
                </c:numCache>
              </c:numRef>
            </c:plus>
            <c:minus>
              <c:numRef>
                <c:f>Analysis!$U$113</c:f>
                <c:numCache>
                  <c:formatCode>General</c:formatCode>
                  <c:ptCount val="1"/>
                  <c:pt idx="0">
                    <c:v>0.11058759102035598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Analysis!$Q$111</c:f>
              <c:strCache>
                <c:ptCount val="1"/>
                <c:pt idx="0">
                  <c:v>Total cells</c:v>
                </c:pt>
              </c:strCache>
            </c:strRef>
          </c:cat>
          <c:val>
            <c:numRef>
              <c:f>Analysis!$S$113</c:f>
              <c:numCache>
                <c:formatCode>General</c:formatCode>
                <c:ptCount val="1"/>
                <c:pt idx="0">
                  <c:v>3.259103295310517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5D-448D-BD80-9C5515A99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1677696"/>
        <c:axId val="551678024"/>
      </c:barChart>
      <c:catAx>
        <c:axId val="551677696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Region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551678024"/>
        <c:crosses val="autoZero"/>
        <c:auto val="1"/>
        <c:lblAlgn val="ctr"/>
        <c:lblOffset val="100"/>
        <c:noMultiLvlLbl val="0"/>
      </c:catAx>
      <c:valAx>
        <c:axId val="551678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Ave. Vessel Diameter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677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Ave. % vessel coverage Ctx vs</a:t>
            </a:r>
            <a:r>
              <a:rPr lang="en-GB" baseline="0"/>
              <a:t> Hpc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Analysis!$R$110</c:f>
              <c:strCache>
                <c:ptCount val="1"/>
                <c:pt idx="0">
                  <c:v>Ctx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Analysis!$T$114</c:f>
                <c:numCache>
                  <c:formatCode>General</c:formatCode>
                  <c:ptCount val="1"/>
                  <c:pt idx="0">
                    <c:v>0.85265592860603034</c:v>
                  </c:pt>
                </c:numCache>
              </c:numRef>
            </c:plus>
            <c:minus>
              <c:numRef>
                <c:f>Analysis!$T$114</c:f>
                <c:numCache>
                  <c:formatCode>General</c:formatCode>
                  <c:ptCount val="1"/>
                  <c:pt idx="0">
                    <c:v>0.85265592860603034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Analysis!$Q$111</c:f>
              <c:strCache>
                <c:ptCount val="1"/>
                <c:pt idx="0">
                  <c:v>Total cells</c:v>
                </c:pt>
              </c:strCache>
            </c:strRef>
          </c:cat>
          <c:val>
            <c:numRef>
              <c:f>Analysis!$R$114</c:f>
              <c:numCache>
                <c:formatCode>General</c:formatCode>
                <c:ptCount val="1"/>
                <c:pt idx="0">
                  <c:v>42.727833759590808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FB-4BEE-A91C-D1D0FDF92D46}"/>
            </c:ext>
          </c:extLst>
        </c:ser>
        <c:ser>
          <c:idx val="1"/>
          <c:order val="1"/>
          <c:tx>
            <c:strRef>
              <c:f>Analysis!$S$110</c:f>
              <c:strCache>
                <c:ptCount val="1"/>
                <c:pt idx="0">
                  <c:v>Hpc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rgbClr val="7030A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Analysis!$U$114</c:f>
                <c:numCache>
                  <c:formatCode>General</c:formatCode>
                  <c:ptCount val="1"/>
                  <c:pt idx="0">
                    <c:v>1.040323273513752</c:v>
                  </c:pt>
                </c:numCache>
              </c:numRef>
            </c:plus>
            <c:minus>
              <c:numRef>
                <c:f>Analysis!$U$114</c:f>
                <c:numCache>
                  <c:formatCode>General</c:formatCode>
                  <c:ptCount val="1"/>
                  <c:pt idx="0">
                    <c:v>1.040323273513752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Analysis!$Q$111</c:f>
              <c:strCache>
                <c:ptCount val="1"/>
                <c:pt idx="0">
                  <c:v>Total cells</c:v>
                </c:pt>
              </c:strCache>
            </c:strRef>
          </c:cat>
          <c:val>
            <c:numRef>
              <c:f>Analysis!$S$114</c:f>
              <c:numCache>
                <c:formatCode>General</c:formatCode>
                <c:ptCount val="1"/>
                <c:pt idx="0">
                  <c:v>41.174460076045641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FB-4BEE-A91C-D1D0FDF92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1677696"/>
        <c:axId val="551678024"/>
      </c:barChart>
      <c:catAx>
        <c:axId val="551677696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Region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551678024"/>
        <c:crosses val="autoZero"/>
        <c:auto val="1"/>
        <c:lblAlgn val="ctr"/>
        <c:lblOffset val="100"/>
        <c:noMultiLvlLbl val="0"/>
      </c:catAx>
      <c:valAx>
        <c:axId val="551678024"/>
        <c:scaling>
          <c:orientation val="minMax"/>
          <c:max val="4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Ave. % Vessel Coverage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677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Ave. cell length Ctx vs</a:t>
            </a:r>
            <a:r>
              <a:rPr lang="en-GB" baseline="0"/>
              <a:t> Hpc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Analysis!$R$110</c:f>
              <c:strCache>
                <c:ptCount val="1"/>
                <c:pt idx="0">
                  <c:v>Ctx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Analysis!$T$115</c:f>
                <c:numCache>
                  <c:formatCode>General</c:formatCode>
                  <c:ptCount val="1"/>
                  <c:pt idx="0">
                    <c:v>1.9155316369775108</c:v>
                  </c:pt>
                </c:numCache>
              </c:numRef>
            </c:plus>
            <c:minus>
              <c:numRef>
                <c:f>Analysis!$T$115</c:f>
                <c:numCache>
                  <c:formatCode>General</c:formatCode>
                  <c:ptCount val="1"/>
                  <c:pt idx="0">
                    <c:v>1.9155316369775108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Analysis!$Q$111</c:f>
              <c:strCache>
                <c:ptCount val="1"/>
                <c:pt idx="0">
                  <c:v>Total cells</c:v>
                </c:pt>
              </c:strCache>
            </c:strRef>
          </c:cat>
          <c:val>
            <c:numRef>
              <c:f>Analysis!$R$115</c:f>
              <c:numCache>
                <c:formatCode>General</c:formatCode>
                <c:ptCount val="1"/>
                <c:pt idx="0">
                  <c:v>89.365260869565219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39-484F-9074-997DA0C02C89}"/>
            </c:ext>
          </c:extLst>
        </c:ser>
        <c:ser>
          <c:idx val="1"/>
          <c:order val="1"/>
          <c:tx>
            <c:strRef>
              <c:f>Analysis!$S$110</c:f>
              <c:strCache>
                <c:ptCount val="1"/>
                <c:pt idx="0">
                  <c:v>Hpc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rgbClr val="7030A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Analysis!$U$115</c:f>
                <c:numCache>
                  <c:formatCode>General</c:formatCode>
                  <c:ptCount val="1"/>
                  <c:pt idx="0">
                    <c:v>2.4198548547409122</c:v>
                  </c:pt>
                </c:numCache>
              </c:numRef>
            </c:plus>
            <c:minus>
              <c:numRef>
                <c:f>Analysis!$U$115</c:f>
                <c:numCache>
                  <c:formatCode>General</c:formatCode>
                  <c:ptCount val="1"/>
                  <c:pt idx="0">
                    <c:v>2.4198548547409122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Analysis!$Q$111</c:f>
              <c:strCache>
                <c:ptCount val="1"/>
                <c:pt idx="0">
                  <c:v>Total cells</c:v>
                </c:pt>
              </c:strCache>
            </c:strRef>
          </c:cat>
          <c:val>
            <c:numRef>
              <c:f>Analysis!$S$115</c:f>
              <c:numCache>
                <c:formatCode>General</c:formatCode>
                <c:ptCount val="1"/>
                <c:pt idx="0">
                  <c:v>101.57361596958174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39-484F-9074-997DA0C02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1677696"/>
        <c:axId val="551678024"/>
      </c:barChart>
      <c:catAx>
        <c:axId val="551677696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Region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551678024"/>
        <c:crosses val="autoZero"/>
        <c:auto val="1"/>
        <c:lblAlgn val="ctr"/>
        <c:lblOffset val="100"/>
        <c:noMultiLvlLbl val="0"/>
      </c:catAx>
      <c:valAx>
        <c:axId val="551678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Ave. Cell Length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677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 no. of each cell</a:t>
            </a:r>
            <a:r>
              <a:rPr lang="en-GB" baseline="0"/>
              <a:t> type</a:t>
            </a:r>
            <a:r>
              <a:rPr lang="en-GB"/>
              <a:t> Ctx vs Hpc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Analysis!$R$110</c:f>
              <c:strCache>
                <c:ptCount val="1"/>
                <c:pt idx="0">
                  <c:v>Ctx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numRef>
              <c:f>Analysis!$R$119:$T$119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4</c:v>
                </c:pt>
              </c:numCache>
            </c:numRef>
          </c:cat>
          <c:val>
            <c:numRef>
              <c:f>Analysis!$R$120:$T$120</c:f>
              <c:numCache>
                <c:formatCode>General</c:formatCode>
                <c:ptCount val="3"/>
                <c:pt idx="0">
                  <c:v>63</c:v>
                </c:pt>
                <c:pt idx="1">
                  <c:v>184</c:v>
                </c:pt>
                <c:pt idx="2">
                  <c:v>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1D-4DD3-8644-2EDA7C96127A}"/>
            </c:ext>
          </c:extLst>
        </c:ser>
        <c:ser>
          <c:idx val="1"/>
          <c:order val="1"/>
          <c:tx>
            <c:strRef>
              <c:f>Analysis!$S$110</c:f>
              <c:strCache>
                <c:ptCount val="1"/>
                <c:pt idx="0">
                  <c:v>Hpc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rgbClr val="7030A0"/>
              </a:solidFill>
            </a:ln>
            <a:effectLst/>
          </c:spPr>
          <c:invertIfNegative val="0"/>
          <c:cat>
            <c:numRef>
              <c:f>Analysis!$R$119:$T$119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4</c:v>
                </c:pt>
              </c:numCache>
            </c:numRef>
          </c:cat>
          <c:val>
            <c:numRef>
              <c:f>Analysis!$R$121:$T$121</c:f>
              <c:numCache>
                <c:formatCode>General</c:formatCode>
                <c:ptCount val="3"/>
                <c:pt idx="0">
                  <c:v>31</c:v>
                </c:pt>
                <c:pt idx="1">
                  <c:v>158</c:v>
                </c:pt>
                <c:pt idx="2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1D-4DD3-8644-2EDA7C961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4213792"/>
        <c:axId val="461798984"/>
      </c:barChart>
      <c:catAx>
        <c:axId val="464213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Cell type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798984"/>
        <c:crosses val="autoZero"/>
        <c:auto val="1"/>
        <c:lblAlgn val="ctr"/>
        <c:lblOffset val="100"/>
        <c:noMultiLvlLbl val="0"/>
      </c:catAx>
      <c:valAx>
        <c:axId val="461798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Cells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213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 no. of each cell</a:t>
            </a:r>
            <a:r>
              <a:rPr lang="en-GB" baseline="0"/>
              <a:t> type as a % of total cell number</a:t>
            </a:r>
            <a:r>
              <a:rPr lang="en-GB"/>
              <a:t> Ctx vs Hpc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Analysis!$R$110</c:f>
              <c:strCache>
                <c:ptCount val="1"/>
                <c:pt idx="0">
                  <c:v>Ctx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Analysis!$R$119:$T$119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4</c:v>
                </c:pt>
              </c:numCache>
            </c:numRef>
          </c:cat>
          <c:val>
            <c:numRef>
              <c:f>Analysis!$R$122:$T$122</c:f>
              <c:numCache>
                <c:formatCode>General</c:formatCode>
                <c:ptCount val="3"/>
                <c:pt idx="0">
                  <c:v>16.153846153846153</c:v>
                </c:pt>
                <c:pt idx="1">
                  <c:v>47.179487179487175</c:v>
                </c:pt>
                <c:pt idx="2">
                  <c:v>36.666666666666664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B0-4850-9FCC-28F9F922A020}"/>
            </c:ext>
          </c:extLst>
        </c:ser>
        <c:ser>
          <c:idx val="1"/>
          <c:order val="1"/>
          <c:tx>
            <c:strRef>
              <c:f>Analysis!$S$110</c:f>
              <c:strCache>
                <c:ptCount val="1"/>
                <c:pt idx="0">
                  <c:v>Hpc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Analysis!$R$119:$T$119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4</c:v>
                </c:pt>
              </c:numCache>
            </c:numRef>
          </c:cat>
          <c:val>
            <c:numRef>
              <c:f>Analysis!$R$123:$T$123</c:f>
              <c:numCache>
                <c:formatCode>General</c:formatCode>
                <c:ptCount val="3"/>
                <c:pt idx="0">
                  <c:v>11.071428571428571</c:v>
                </c:pt>
                <c:pt idx="1">
                  <c:v>56.428571428571431</c:v>
                </c:pt>
                <c:pt idx="2">
                  <c:v>32.5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B0-4850-9FCC-28F9F922A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4213792"/>
        <c:axId val="461798984"/>
      </c:barChart>
      <c:catAx>
        <c:axId val="464213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Cell type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798984"/>
        <c:crosses val="autoZero"/>
        <c:auto val="1"/>
        <c:lblAlgn val="ctr"/>
        <c:lblOffset val="100"/>
        <c:noMultiLvlLbl val="0"/>
      </c:catAx>
      <c:valAx>
        <c:axId val="461798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Cells as a % of Total Cell Number</a:t>
                </a:r>
              </a:p>
            </c:rich>
          </c:tx>
          <c:layout>
            <c:manualLayout>
              <c:xMode val="edge"/>
              <c:yMode val="edge"/>
              <c:x val="2.5457438345266509E-2"/>
              <c:y val="0.135549683806302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213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Ave.</a:t>
            </a:r>
            <a:r>
              <a:rPr lang="en-GB" baseline="0"/>
              <a:t> cell length Ctx vs Hpc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Analysis!$R$110</c:f>
              <c:strCache>
                <c:ptCount val="1"/>
                <c:pt idx="0">
                  <c:v>Ctx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Analysis!$R$128:$T$128</c:f>
                <c:numCache>
                  <c:formatCode>General</c:formatCode>
                  <c:ptCount val="3"/>
                  <c:pt idx="0">
                    <c:v>4.3269645591126089</c:v>
                  </c:pt>
                  <c:pt idx="1">
                    <c:v>2.4025552121372336</c:v>
                  </c:pt>
                  <c:pt idx="2">
                    <c:v>3.7433528672440093</c:v>
                  </c:pt>
                </c:numCache>
              </c:numRef>
            </c:plus>
            <c:minus>
              <c:numRef>
                <c:f>Analysis!$R$128:$T$128</c:f>
                <c:numCache>
                  <c:formatCode>General</c:formatCode>
                  <c:ptCount val="3"/>
                  <c:pt idx="0">
                    <c:v>4.3269645591126089</c:v>
                  </c:pt>
                  <c:pt idx="1">
                    <c:v>2.4025552121372336</c:v>
                  </c:pt>
                  <c:pt idx="2">
                    <c:v>3.7433528672440093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Analysis!$R$119:$T$119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4</c:v>
                </c:pt>
              </c:numCache>
            </c:numRef>
          </c:cat>
          <c:val>
            <c:numRef>
              <c:f>Analysis!$R$127:$T$127</c:f>
              <c:numCache>
                <c:formatCode>General</c:formatCode>
                <c:ptCount val="3"/>
                <c:pt idx="0">
                  <c:v>92.923295081967225</c:v>
                </c:pt>
                <c:pt idx="1">
                  <c:v>87.156599999999997</c:v>
                </c:pt>
                <c:pt idx="2">
                  <c:v>90.68637931034479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F9-427F-840E-ADAE8024C2FE}"/>
            </c:ext>
          </c:extLst>
        </c:ser>
        <c:ser>
          <c:idx val="1"/>
          <c:order val="1"/>
          <c:tx>
            <c:strRef>
              <c:f>Analysis!$S$110</c:f>
              <c:strCache>
                <c:ptCount val="1"/>
                <c:pt idx="0">
                  <c:v>Hpc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Analysis!$R$130:$T$130</c:f>
                <c:numCache>
                  <c:formatCode>General</c:formatCode>
                  <c:ptCount val="3"/>
                  <c:pt idx="0">
                    <c:v>6.5975726830489805</c:v>
                  </c:pt>
                  <c:pt idx="1">
                    <c:v>3.1677702203687312</c:v>
                  </c:pt>
                  <c:pt idx="2">
                    <c:v>4.1085888072098973</c:v>
                  </c:pt>
                </c:numCache>
              </c:numRef>
            </c:plus>
            <c:minus>
              <c:numRef>
                <c:f>Analysis!$R$130:$T$130</c:f>
                <c:numCache>
                  <c:formatCode>General</c:formatCode>
                  <c:ptCount val="3"/>
                  <c:pt idx="0">
                    <c:v>6.5975726830489805</c:v>
                  </c:pt>
                  <c:pt idx="1">
                    <c:v>3.1677702203687312</c:v>
                  </c:pt>
                  <c:pt idx="2">
                    <c:v>4.1085888072098973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Analysis!$R$119:$T$119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4</c:v>
                </c:pt>
              </c:numCache>
            </c:numRef>
          </c:cat>
          <c:val>
            <c:numRef>
              <c:f>Analysis!$R$129:$T$129</c:f>
              <c:numCache>
                <c:formatCode>General</c:formatCode>
                <c:ptCount val="3"/>
                <c:pt idx="0">
                  <c:v>115.9993703703704</c:v>
                </c:pt>
                <c:pt idx="1">
                  <c:v>106.42973856209153</c:v>
                </c:pt>
                <c:pt idx="2">
                  <c:v>87.92925301204815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F9-427F-840E-ADAE8024C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4213792"/>
        <c:axId val="461798984"/>
      </c:barChart>
      <c:catAx>
        <c:axId val="464213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Cell type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798984"/>
        <c:crosses val="autoZero"/>
        <c:auto val="1"/>
        <c:lblAlgn val="ctr"/>
        <c:lblOffset val="100"/>
        <c:noMultiLvlLbl val="0"/>
      </c:catAx>
      <c:valAx>
        <c:axId val="461798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Ave. Cell Length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213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Ave.</a:t>
            </a:r>
            <a:r>
              <a:rPr lang="en-GB" baseline="0"/>
              <a:t> % vessel coverage Ctx vs Hpc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Analysis!$R$110</c:f>
              <c:strCache>
                <c:ptCount val="1"/>
                <c:pt idx="0">
                  <c:v>Ctx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Analysis!$R$136:$T$136</c:f>
                <c:numCache>
                  <c:formatCode>General</c:formatCode>
                  <c:ptCount val="3"/>
                </c:numCache>
              </c:numRef>
            </c:plus>
            <c:minus>
              <c:numRef>
                <c:f>Analysis!$R$136:$T$136</c:f>
                <c:numCache>
                  <c:formatCode>General</c:formatCode>
                  <c:ptCount val="3"/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Analysis!$R$119:$T$119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4</c:v>
                </c:pt>
              </c:numCache>
            </c:numRef>
          </c:cat>
          <c:val>
            <c:numRef>
              <c:f>Analysis!$R$135:$T$135</c:f>
              <c:numCache>
                <c:formatCode>General</c:formatCode>
                <c:ptCount val="3"/>
                <c:pt idx="0">
                  <c:v>0.16254383811100712</c:v>
                </c:pt>
                <c:pt idx="1">
                  <c:v>0.1405636973407049</c:v>
                </c:pt>
                <c:pt idx="2">
                  <c:v>0.19434540865052552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DD-4E93-BDA6-C7662CB378F3}"/>
            </c:ext>
          </c:extLst>
        </c:ser>
        <c:ser>
          <c:idx val="1"/>
          <c:order val="1"/>
          <c:tx>
            <c:strRef>
              <c:f>Analysis!$S$110</c:f>
              <c:strCache>
                <c:ptCount val="1"/>
                <c:pt idx="0">
                  <c:v>Hpc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Analysis!$R$138:$T$138</c:f>
                <c:numCache>
                  <c:formatCode>General</c:formatCode>
                  <c:ptCount val="3"/>
                </c:numCache>
              </c:numRef>
            </c:plus>
            <c:minus>
              <c:numRef>
                <c:f>Analysis!$R$138:$T$138</c:f>
                <c:numCache>
                  <c:formatCode>General</c:formatCode>
                  <c:ptCount val="3"/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Analysis!$R$119:$T$119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4</c:v>
                </c:pt>
              </c:numCache>
            </c:numRef>
          </c:cat>
          <c:val>
            <c:numRef>
              <c:f>Analysis!$R$137:$T$137</c:f>
              <c:numCache>
                <c:formatCode>General</c:formatCode>
                <c:ptCount val="3"/>
                <c:pt idx="0">
                  <c:v>2.2913703703703705</c:v>
                </c:pt>
                <c:pt idx="1">
                  <c:v>3.2734618736383423</c:v>
                </c:pt>
                <c:pt idx="2">
                  <c:v>3.5474397590361431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DD-4E93-BDA6-C7662CB37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4213792"/>
        <c:axId val="461798984"/>
      </c:barChart>
      <c:catAx>
        <c:axId val="464213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Cell type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798984"/>
        <c:crosses val="autoZero"/>
        <c:auto val="1"/>
        <c:lblAlgn val="ctr"/>
        <c:lblOffset val="100"/>
        <c:noMultiLvlLbl val="0"/>
      </c:catAx>
      <c:valAx>
        <c:axId val="461798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Ave. % Vessel Coverage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213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457200</xdr:colOff>
      <xdr:row>109</xdr:row>
      <xdr:rowOff>147637</xdr:rowOff>
    </xdr:from>
    <xdr:to>
      <xdr:col>26</xdr:col>
      <xdr:colOff>161925</xdr:colOff>
      <xdr:row>121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B7B3A8E-1890-407C-A37F-99B0DB132F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342900</xdr:colOff>
      <xdr:row>109</xdr:row>
      <xdr:rowOff>142875</xdr:rowOff>
    </xdr:from>
    <xdr:to>
      <xdr:col>31</xdr:col>
      <xdr:colOff>47625</xdr:colOff>
      <xdr:row>121</xdr:row>
      <xdr:rowOff>23813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7EDC466-0A8D-4FD1-B6B6-CF268B2490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457200</xdr:colOff>
      <xdr:row>121</xdr:row>
      <xdr:rowOff>171450</xdr:rowOff>
    </xdr:from>
    <xdr:to>
      <xdr:col>26</xdr:col>
      <xdr:colOff>161925</xdr:colOff>
      <xdr:row>133</xdr:row>
      <xdr:rowOff>52388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6BECF6C-3E5C-4F4B-8255-19820BDEC4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323850</xdr:colOff>
      <xdr:row>122</xdr:row>
      <xdr:rowOff>9525</xdr:rowOff>
    </xdr:from>
    <xdr:to>
      <xdr:col>31</xdr:col>
      <xdr:colOff>28575</xdr:colOff>
      <xdr:row>133</xdr:row>
      <xdr:rowOff>80963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47BAEEC-5EEC-4B37-B5BD-8CF59ADFDB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31</xdr:col>
      <xdr:colOff>190500</xdr:colOff>
      <xdr:row>109</xdr:row>
      <xdr:rowOff>133350</xdr:rowOff>
    </xdr:from>
    <xdr:to>
      <xdr:col>35</xdr:col>
      <xdr:colOff>504825</xdr:colOff>
      <xdr:row>121</xdr:row>
      <xdr:rowOff>14288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76F7F209-0BC8-47E3-9EAB-E6CB585CA9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95250</xdr:colOff>
      <xdr:row>134</xdr:row>
      <xdr:rowOff>0</xdr:rowOff>
    </xdr:from>
    <xdr:to>
      <xdr:col>27</xdr:col>
      <xdr:colOff>428625</xdr:colOff>
      <xdr:row>147</xdr:row>
      <xdr:rowOff>123826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AFAF2DD5-1FEE-4BA5-BE04-57E59DE6BC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28</xdr:col>
      <xdr:colOff>9525</xdr:colOff>
      <xdr:row>133</xdr:row>
      <xdr:rowOff>190499</xdr:rowOff>
    </xdr:from>
    <xdr:to>
      <xdr:col>34</xdr:col>
      <xdr:colOff>295274</xdr:colOff>
      <xdr:row>147</xdr:row>
      <xdr:rowOff>85725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697AA83-1F91-435F-BC8C-6470CAF84E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133350</xdr:colOff>
      <xdr:row>148</xdr:row>
      <xdr:rowOff>19050</xdr:rowOff>
    </xdr:from>
    <xdr:to>
      <xdr:col>27</xdr:col>
      <xdr:colOff>466725</xdr:colOff>
      <xdr:row>161</xdr:row>
      <xdr:rowOff>142876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81561B62-5A3C-4AEA-A5EA-1F1F6DA29C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133350</xdr:colOff>
      <xdr:row>162</xdr:row>
      <xdr:rowOff>28575</xdr:rowOff>
    </xdr:from>
    <xdr:to>
      <xdr:col>27</xdr:col>
      <xdr:colOff>466725</xdr:colOff>
      <xdr:row>173</xdr:row>
      <xdr:rowOff>152401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588EC445-C5CC-44C9-8E22-B2A5762149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28</xdr:col>
      <xdr:colOff>28575</xdr:colOff>
      <xdr:row>147</xdr:row>
      <xdr:rowOff>180975</xdr:rowOff>
    </xdr:from>
    <xdr:to>
      <xdr:col>34</xdr:col>
      <xdr:colOff>361950</xdr:colOff>
      <xdr:row>161</xdr:row>
      <xdr:rowOff>114301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3B812330-7C8C-4DF8-B94F-9E58AD9ACE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</xdr:col>
      <xdr:colOff>47625</xdr:colOff>
      <xdr:row>162</xdr:row>
      <xdr:rowOff>47625</xdr:rowOff>
    </xdr:from>
    <xdr:to>
      <xdr:col>34</xdr:col>
      <xdr:colOff>381000</xdr:colOff>
      <xdr:row>173</xdr:row>
      <xdr:rowOff>171451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8AD67717-4BD8-41B4-B7E4-D1F3199E04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DE9D4-6E14-4E6A-9F43-5D4D264B7192}">
  <dimension ref="A1:U763"/>
  <sheetViews>
    <sheetView tabSelected="1" topLeftCell="C1" zoomScaleNormal="100" workbookViewId="0">
      <selection activeCell="C517" sqref="A517:XFD517"/>
    </sheetView>
  </sheetViews>
  <sheetFormatPr defaultRowHeight="15" x14ac:dyDescent="0.25"/>
  <cols>
    <col min="1" max="1" width="22.85546875" bestFit="1" customWidth="1"/>
    <col min="2" max="2" width="10.28515625" customWidth="1"/>
    <col min="3" max="3" width="10" bestFit="1" customWidth="1"/>
    <col min="4" max="4" width="16.140625" customWidth="1"/>
    <col min="5" max="5" width="16.7109375" customWidth="1"/>
    <col min="6" max="7" width="25.5703125" customWidth="1"/>
    <col min="8" max="8" width="22.85546875" customWidth="1"/>
    <col min="9" max="9" width="17.42578125" customWidth="1"/>
    <col min="10" max="10" width="30.42578125" customWidth="1"/>
    <col min="11" max="11" width="21.85546875" customWidth="1"/>
    <col min="12" max="12" width="10.85546875" style="8" customWidth="1"/>
    <col min="13" max="13" width="19.28515625" style="8" customWidth="1"/>
    <col min="14" max="14" width="28.42578125" style="14" customWidth="1"/>
    <col min="15" max="15" width="55.7109375" style="1" bestFit="1" customWidth="1"/>
    <col min="17" max="17" width="11.140625" style="4" customWidth="1"/>
  </cols>
  <sheetData>
    <row r="1" spans="1:19" x14ac:dyDescent="0.25">
      <c r="A1" s="2" t="s">
        <v>161</v>
      </c>
      <c r="B1" s="2" t="s">
        <v>162</v>
      </c>
      <c r="C1" s="2" t="s">
        <v>747</v>
      </c>
      <c r="D1" s="2" t="s">
        <v>160</v>
      </c>
      <c r="E1" s="2" t="s">
        <v>0</v>
      </c>
      <c r="F1" s="2" t="s">
        <v>164</v>
      </c>
      <c r="G1" s="2" t="s">
        <v>879</v>
      </c>
      <c r="H1" s="2" t="s">
        <v>165</v>
      </c>
      <c r="I1" s="2" t="s">
        <v>166</v>
      </c>
      <c r="J1" s="2" t="s">
        <v>168</v>
      </c>
      <c r="K1" s="2" t="s">
        <v>167</v>
      </c>
      <c r="L1" s="7" t="s">
        <v>449</v>
      </c>
      <c r="M1" s="7" t="s">
        <v>450</v>
      </c>
      <c r="N1" s="13" t="s">
        <v>448</v>
      </c>
      <c r="O1" s="2" t="s">
        <v>5</v>
      </c>
      <c r="S1" s="4"/>
    </row>
    <row r="2" spans="1:19" s="6" customFormat="1" x14ac:dyDescent="0.25">
      <c r="A2" s="6" t="s">
        <v>769</v>
      </c>
      <c r="B2" s="6" t="s">
        <v>799</v>
      </c>
      <c r="C2" s="6">
        <v>1</v>
      </c>
      <c r="D2" t="s">
        <v>751</v>
      </c>
      <c r="E2" s="6">
        <v>1</v>
      </c>
      <c r="F2" s="6" t="s">
        <v>770</v>
      </c>
      <c r="G2" s="6">
        <v>2</v>
      </c>
      <c r="H2" s="6">
        <v>2</v>
      </c>
      <c r="I2" s="6">
        <f>(27.378+8.772)</f>
        <v>36.15</v>
      </c>
      <c r="J2" s="6">
        <v>64.399000000000001</v>
      </c>
      <c r="K2" s="6">
        <v>8.2170000000000005</v>
      </c>
      <c r="L2" s="22">
        <v>1</v>
      </c>
      <c r="M2" s="22" t="s">
        <v>454</v>
      </c>
      <c r="N2" s="23">
        <v>0</v>
      </c>
      <c r="O2" s="6" t="s">
        <v>771</v>
      </c>
      <c r="Q2" s="24"/>
      <c r="S2" s="24"/>
    </row>
    <row r="3" spans="1:19" s="6" customFormat="1" x14ac:dyDescent="0.25">
      <c r="A3" s="6" t="s">
        <v>769</v>
      </c>
      <c r="B3" s="6" t="s">
        <v>799</v>
      </c>
      <c r="C3" s="6">
        <v>1</v>
      </c>
      <c r="D3" t="s">
        <v>751</v>
      </c>
      <c r="E3" s="6">
        <v>2</v>
      </c>
      <c r="F3" s="6" t="s">
        <v>772</v>
      </c>
      <c r="G3" s="6">
        <v>3</v>
      </c>
      <c r="H3" s="6">
        <v>3</v>
      </c>
      <c r="I3" s="6">
        <v>97.730999999999995</v>
      </c>
      <c r="J3" s="6">
        <v>27.585999999999999</v>
      </c>
      <c r="K3" s="6">
        <v>4.4509999999999996</v>
      </c>
      <c r="L3" s="22">
        <v>1</v>
      </c>
      <c r="M3" s="22" t="s">
        <v>451</v>
      </c>
      <c r="N3" s="23">
        <v>28.329000000000001</v>
      </c>
      <c r="O3" s="6" t="s">
        <v>771</v>
      </c>
      <c r="Q3" s="24"/>
      <c r="S3" s="24"/>
    </row>
    <row r="4" spans="1:19" s="6" customFormat="1" x14ac:dyDescent="0.25">
      <c r="A4" s="6" t="s">
        <v>769</v>
      </c>
      <c r="B4" s="6" t="s">
        <v>799</v>
      </c>
      <c r="C4" s="6">
        <v>1</v>
      </c>
      <c r="D4" t="s">
        <v>751</v>
      </c>
      <c r="E4" s="6">
        <v>3</v>
      </c>
      <c r="F4" s="6" t="s">
        <v>817</v>
      </c>
      <c r="G4" s="6">
        <v>2</v>
      </c>
      <c r="H4" s="6">
        <v>2</v>
      </c>
      <c r="I4" s="6">
        <v>39.862000000000002</v>
      </c>
      <c r="J4" s="6">
        <v>65.978999999999999</v>
      </c>
      <c r="K4" s="6">
        <v>7.2850000000000001</v>
      </c>
      <c r="L4" s="22">
        <v>1</v>
      </c>
      <c r="M4" s="22" t="s">
        <v>454</v>
      </c>
      <c r="N4" s="23">
        <v>0</v>
      </c>
      <c r="O4" s="6" t="s">
        <v>771</v>
      </c>
      <c r="Q4" s="24"/>
      <c r="S4" s="24"/>
    </row>
    <row r="5" spans="1:19" s="6" customFormat="1" x14ac:dyDescent="0.25">
      <c r="A5" s="6" t="s">
        <v>769</v>
      </c>
      <c r="B5" s="6" t="s">
        <v>799</v>
      </c>
      <c r="C5" s="6">
        <v>1</v>
      </c>
      <c r="D5" t="s">
        <v>751</v>
      </c>
      <c r="E5" s="6">
        <v>4</v>
      </c>
      <c r="F5" s="6" t="s">
        <v>773</v>
      </c>
      <c r="G5" s="6">
        <v>3</v>
      </c>
      <c r="H5" s="6">
        <v>3</v>
      </c>
      <c r="I5" s="6">
        <v>63.212000000000003</v>
      </c>
      <c r="J5" s="6">
        <v>31.678999999999998</v>
      </c>
      <c r="K5" s="6">
        <v>3.7229999999999999</v>
      </c>
      <c r="L5" s="22">
        <v>1</v>
      </c>
      <c r="M5" s="22" t="s">
        <v>451</v>
      </c>
      <c r="N5" s="23">
        <v>50.847999999999999</v>
      </c>
      <c r="O5" s="6" t="s">
        <v>771</v>
      </c>
      <c r="Q5" s="24"/>
      <c r="S5" s="24"/>
    </row>
    <row r="6" spans="1:19" s="6" customFormat="1" x14ac:dyDescent="0.25">
      <c r="A6" s="6" t="s">
        <v>769</v>
      </c>
      <c r="B6" s="6" t="s">
        <v>799</v>
      </c>
      <c r="C6" s="6">
        <v>1</v>
      </c>
      <c r="D6" t="s">
        <v>751</v>
      </c>
      <c r="E6" s="6">
        <v>5</v>
      </c>
      <c r="F6" s="6" t="s">
        <v>774</v>
      </c>
      <c r="G6" s="6">
        <v>3</v>
      </c>
      <c r="H6" s="6">
        <v>3</v>
      </c>
      <c r="I6" s="6">
        <f>(43.48+9.53)</f>
        <v>53.01</v>
      </c>
      <c r="J6" s="6">
        <v>35.334000000000003</v>
      </c>
      <c r="K6" s="6">
        <v>5.4359999999999999</v>
      </c>
      <c r="L6" s="22">
        <v>1</v>
      </c>
      <c r="M6" s="22" t="s">
        <v>451</v>
      </c>
      <c r="N6" s="23">
        <v>16.013000000000002</v>
      </c>
      <c r="O6" s="6" t="s">
        <v>771</v>
      </c>
      <c r="Q6" s="24"/>
      <c r="S6" s="24"/>
    </row>
    <row r="7" spans="1:19" s="6" customFormat="1" x14ac:dyDescent="0.25">
      <c r="A7" s="6" t="s">
        <v>769</v>
      </c>
      <c r="B7" s="6" t="s">
        <v>799</v>
      </c>
      <c r="C7" s="6">
        <v>1</v>
      </c>
      <c r="D7" t="s">
        <v>751</v>
      </c>
      <c r="E7" s="6">
        <v>6</v>
      </c>
      <c r="F7" s="6" t="s">
        <v>775</v>
      </c>
      <c r="G7" s="6">
        <v>3</v>
      </c>
      <c r="H7" s="6">
        <v>3</v>
      </c>
      <c r="I7" s="6">
        <v>78.760000000000005</v>
      </c>
      <c r="J7" s="6">
        <v>45.831000000000003</v>
      </c>
      <c r="K7" s="6">
        <v>4.0659999999999998</v>
      </c>
      <c r="L7" s="22">
        <v>0</v>
      </c>
      <c r="M7" s="22" t="s">
        <v>451</v>
      </c>
      <c r="N7" s="14" t="s">
        <v>452</v>
      </c>
      <c r="O7" s="6" t="s">
        <v>771</v>
      </c>
      <c r="Q7" s="24"/>
      <c r="S7" s="24"/>
    </row>
    <row r="8" spans="1:19" s="6" customFormat="1" x14ac:dyDescent="0.25">
      <c r="A8" s="6" t="s">
        <v>769</v>
      </c>
      <c r="B8" s="6" t="s">
        <v>799</v>
      </c>
      <c r="C8" s="6">
        <v>1</v>
      </c>
      <c r="D8" t="s">
        <v>751</v>
      </c>
      <c r="E8" s="6">
        <v>7</v>
      </c>
      <c r="F8" s="6" t="s">
        <v>776</v>
      </c>
      <c r="G8" s="6">
        <v>3</v>
      </c>
      <c r="H8" s="6">
        <v>4</v>
      </c>
      <c r="I8" s="6">
        <v>92.715999999999994</v>
      </c>
      <c r="J8" s="6">
        <v>29.882000000000001</v>
      </c>
      <c r="K8" s="6">
        <v>2.2309999999999999</v>
      </c>
      <c r="L8" s="22">
        <v>0</v>
      </c>
      <c r="M8" s="22" t="s">
        <v>451</v>
      </c>
      <c r="N8" s="14" t="s">
        <v>452</v>
      </c>
      <c r="O8" s="6" t="s">
        <v>771</v>
      </c>
      <c r="Q8" s="24"/>
      <c r="S8" s="24"/>
    </row>
    <row r="9" spans="1:19" s="6" customFormat="1" x14ac:dyDescent="0.25">
      <c r="A9" s="6" t="s">
        <v>769</v>
      </c>
      <c r="B9" s="6" t="s">
        <v>799</v>
      </c>
      <c r="C9" s="6">
        <v>1</v>
      </c>
      <c r="D9" t="s">
        <v>751</v>
      </c>
      <c r="E9" s="6">
        <v>8</v>
      </c>
      <c r="F9" s="6" t="s">
        <v>777</v>
      </c>
      <c r="G9" s="6">
        <v>3</v>
      </c>
      <c r="H9" s="6">
        <v>4</v>
      </c>
      <c r="I9" s="6">
        <v>70.596000000000004</v>
      </c>
      <c r="J9" s="6">
        <v>28.971</v>
      </c>
      <c r="K9" s="6">
        <v>2.4740000000000002</v>
      </c>
      <c r="L9" s="22">
        <v>0</v>
      </c>
      <c r="M9" s="22" t="s">
        <v>451</v>
      </c>
      <c r="N9" s="14" t="s">
        <v>452</v>
      </c>
      <c r="O9" s="6" t="s">
        <v>771</v>
      </c>
      <c r="Q9" s="24"/>
      <c r="S9" s="24"/>
    </row>
    <row r="10" spans="1:19" s="6" customFormat="1" x14ac:dyDescent="0.25">
      <c r="A10" s="6" t="s">
        <v>778</v>
      </c>
      <c r="B10" s="6" t="s">
        <v>799</v>
      </c>
      <c r="C10" s="6">
        <v>2</v>
      </c>
      <c r="D10" s="6" t="s">
        <v>749</v>
      </c>
      <c r="E10" s="6">
        <v>1</v>
      </c>
      <c r="F10" s="6" t="s">
        <v>779</v>
      </c>
      <c r="G10" s="6">
        <v>2</v>
      </c>
      <c r="H10" s="6">
        <v>2</v>
      </c>
      <c r="I10" s="6">
        <f>14.958+13.679</f>
        <v>28.637</v>
      </c>
      <c r="J10" s="6">
        <v>60.582000000000001</v>
      </c>
      <c r="K10" s="6">
        <v>7.6210000000000004</v>
      </c>
      <c r="L10" s="22">
        <v>1</v>
      </c>
      <c r="M10" s="22" t="s">
        <v>454</v>
      </c>
      <c r="N10" s="14">
        <v>0</v>
      </c>
      <c r="O10" s="6" t="s">
        <v>771</v>
      </c>
      <c r="Q10" s="24"/>
      <c r="S10" s="24"/>
    </row>
    <row r="11" spans="1:19" s="6" customFormat="1" x14ac:dyDescent="0.25">
      <c r="A11" s="6" t="s">
        <v>778</v>
      </c>
      <c r="B11" s="6" t="s">
        <v>799</v>
      </c>
      <c r="C11" s="6">
        <v>2</v>
      </c>
      <c r="D11" s="6" t="s">
        <v>749</v>
      </c>
      <c r="E11" s="6">
        <v>2</v>
      </c>
      <c r="F11" s="6" t="s">
        <v>780</v>
      </c>
      <c r="G11" s="6">
        <v>2</v>
      </c>
      <c r="H11" s="6">
        <v>2</v>
      </c>
      <c r="I11" s="6">
        <f>28.124+11.116</f>
        <v>39.239999999999995</v>
      </c>
      <c r="J11" s="6">
        <v>62.137</v>
      </c>
      <c r="K11" s="6">
        <v>4.3949999999999996</v>
      </c>
      <c r="L11" s="22">
        <v>1</v>
      </c>
      <c r="M11" s="22" t="s">
        <v>454</v>
      </c>
      <c r="N11" s="23">
        <v>0</v>
      </c>
      <c r="O11" s="6" t="s">
        <v>771</v>
      </c>
      <c r="Q11" s="24"/>
      <c r="S11" s="24"/>
    </row>
    <row r="12" spans="1:19" s="6" customFormat="1" x14ac:dyDescent="0.25">
      <c r="A12" s="6" t="s">
        <v>778</v>
      </c>
      <c r="B12" s="6" t="s">
        <v>799</v>
      </c>
      <c r="C12" s="6">
        <v>2</v>
      </c>
      <c r="D12" s="6" t="s">
        <v>749</v>
      </c>
      <c r="E12" s="6">
        <v>3</v>
      </c>
      <c r="F12" s="6" t="s">
        <v>781</v>
      </c>
      <c r="G12" s="6">
        <v>2</v>
      </c>
      <c r="H12" s="6">
        <v>3</v>
      </c>
      <c r="I12" s="6">
        <v>76.188000000000002</v>
      </c>
      <c r="J12" s="6">
        <v>39.802</v>
      </c>
      <c r="K12" s="6">
        <v>7.1859999999999999</v>
      </c>
      <c r="L12" s="22">
        <v>1</v>
      </c>
      <c r="M12" s="22" t="s">
        <v>454</v>
      </c>
      <c r="N12" s="23">
        <v>0</v>
      </c>
      <c r="O12" s="6" t="s">
        <v>771</v>
      </c>
      <c r="Q12" s="24"/>
      <c r="S12" s="24"/>
    </row>
    <row r="13" spans="1:19" s="6" customFormat="1" x14ac:dyDescent="0.25">
      <c r="A13" s="6" t="s">
        <v>778</v>
      </c>
      <c r="B13" s="6" t="s">
        <v>799</v>
      </c>
      <c r="C13" s="6">
        <v>2</v>
      </c>
      <c r="D13" s="6" t="s">
        <v>749</v>
      </c>
      <c r="E13" s="6">
        <v>4</v>
      </c>
      <c r="F13" s="6" t="s">
        <v>782</v>
      </c>
      <c r="G13" s="6">
        <v>3</v>
      </c>
      <c r="H13" s="6">
        <v>4</v>
      </c>
      <c r="I13" s="6">
        <f>57.875+15.494</f>
        <v>73.369</v>
      </c>
      <c r="J13" s="6">
        <v>21.713000000000001</v>
      </c>
      <c r="K13" s="6">
        <v>3.637</v>
      </c>
      <c r="L13" s="22">
        <v>1</v>
      </c>
      <c r="M13" s="22" t="s">
        <v>454</v>
      </c>
      <c r="N13" s="23">
        <v>0</v>
      </c>
      <c r="O13" s="6" t="s">
        <v>771</v>
      </c>
      <c r="Q13" s="24"/>
      <c r="S13" s="24"/>
    </row>
    <row r="14" spans="1:19" s="6" customFormat="1" x14ac:dyDescent="0.25">
      <c r="A14" s="6" t="s">
        <v>778</v>
      </c>
      <c r="B14" s="6" t="s">
        <v>799</v>
      </c>
      <c r="C14" s="6">
        <v>2</v>
      </c>
      <c r="D14" s="6" t="s">
        <v>749</v>
      </c>
      <c r="E14" s="6">
        <v>5</v>
      </c>
      <c r="F14" s="6" t="s">
        <v>783</v>
      </c>
      <c r="G14" s="6">
        <v>3</v>
      </c>
      <c r="H14" s="6">
        <v>3</v>
      </c>
      <c r="I14" s="6">
        <v>78.739000000000004</v>
      </c>
      <c r="J14" s="6">
        <v>33.847000000000001</v>
      </c>
      <c r="K14" s="6">
        <v>3.1509999999999998</v>
      </c>
      <c r="L14" s="22">
        <v>0</v>
      </c>
      <c r="M14" s="22" t="s">
        <v>451</v>
      </c>
      <c r="N14" s="14" t="s">
        <v>452</v>
      </c>
      <c r="O14" s="6" t="s">
        <v>771</v>
      </c>
      <c r="Q14" s="24"/>
      <c r="S14" s="24"/>
    </row>
    <row r="15" spans="1:19" s="6" customFormat="1" x14ac:dyDescent="0.25">
      <c r="A15" s="6" t="s">
        <v>778</v>
      </c>
      <c r="B15" s="6" t="s">
        <v>799</v>
      </c>
      <c r="C15" s="6">
        <v>2</v>
      </c>
      <c r="D15" s="6" t="s">
        <v>749</v>
      </c>
      <c r="E15" s="6">
        <v>6</v>
      </c>
      <c r="F15" s="6" t="s">
        <v>784</v>
      </c>
      <c r="G15" s="6">
        <v>3</v>
      </c>
      <c r="H15" s="6">
        <v>4</v>
      </c>
      <c r="I15" s="6">
        <f>102.164+13.971</f>
        <v>116.13500000000001</v>
      </c>
      <c r="J15" s="6">
        <v>23.189</v>
      </c>
      <c r="K15" s="6">
        <v>2.472</v>
      </c>
      <c r="L15" s="22">
        <v>1</v>
      </c>
      <c r="M15" s="22" t="s">
        <v>451</v>
      </c>
      <c r="N15" s="23">
        <v>25.834</v>
      </c>
      <c r="O15" s="6" t="s">
        <v>771</v>
      </c>
      <c r="Q15" s="24"/>
      <c r="S15" s="24"/>
    </row>
    <row r="16" spans="1:19" s="6" customFormat="1" x14ac:dyDescent="0.25">
      <c r="A16" s="6" t="s">
        <v>778</v>
      </c>
      <c r="B16" s="6" t="s">
        <v>799</v>
      </c>
      <c r="C16" s="6">
        <v>2</v>
      </c>
      <c r="D16" s="6" t="s">
        <v>749</v>
      </c>
      <c r="E16" s="6">
        <v>7</v>
      </c>
      <c r="F16" s="6" t="s">
        <v>785</v>
      </c>
      <c r="G16" s="6">
        <v>2</v>
      </c>
      <c r="H16" s="6">
        <v>3</v>
      </c>
      <c r="I16" s="6">
        <v>76.113</v>
      </c>
      <c r="J16" s="6">
        <v>49.731000000000002</v>
      </c>
      <c r="K16" s="6">
        <v>4.0540000000000003</v>
      </c>
      <c r="L16" s="22">
        <v>0</v>
      </c>
      <c r="M16" s="22" t="s">
        <v>451</v>
      </c>
      <c r="N16" s="14" t="s">
        <v>452</v>
      </c>
      <c r="O16" s="6" t="s">
        <v>771</v>
      </c>
      <c r="Q16" s="24"/>
      <c r="S16" s="24"/>
    </row>
    <row r="17" spans="1:19" s="6" customFormat="1" x14ac:dyDescent="0.25">
      <c r="A17" s="6" t="s">
        <v>778</v>
      </c>
      <c r="B17" s="6" t="s">
        <v>799</v>
      </c>
      <c r="C17" s="6">
        <v>2</v>
      </c>
      <c r="D17" s="6" t="s">
        <v>749</v>
      </c>
      <c r="E17" s="6">
        <v>8</v>
      </c>
      <c r="F17" s="6" t="s">
        <v>786</v>
      </c>
      <c r="G17" s="6">
        <v>3</v>
      </c>
      <c r="H17" s="6">
        <v>4</v>
      </c>
      <c r="I17" s="6">
        <v>133.77699999999999</v>
      </c>
      <c r="J17" s="6">
        <v>26.884</v>
      </c>
      <c r="K17" s="6">
        <v>3.153</v>
      </c>
      <c r="L17" s="22">
        <v>0</v>
      </c>
      <c r="M17" s="22" t="s">
        <v>451</v>
      </c>
      <c r="N17" s="14" t="s">
        <v>452</v>
      </c>
      <c r="O17" s="6" t="s">
        <v>771</v>
      </c>
      <c r="Q17" s="24"/>
      <c r="S17" s="24"/>
    </row>
    <row r="18" spans="1:19" s="6" customFormat="1" x14ac:dyDescent="0.25">
      <c r="A18" s="6" t="s">
        <v>778</v>
      </c>
      <c r="B18" s="6" t="s">
        <v>799</v>
      </c>
      <c r="C18" s="6">
        <v>2</v>
      </c>
      <c r="D18" s="6" t="s">
        <v>749</v>
      </c>
      <c r="E18" s="6">
        <v>9</v>
      </c>
      <c r="F18" s="6" t="s">
        <v>787</v>
      </c>
      <c r="G18" s="6">
        <v>3</v>
      </c>
      <c r="H18" s="6">
        <v>4</v>
      </c>
      <c r="I18" s="6">
        <f>155.464+23.045</f>
        <v>178.50900000000001</v>
      </c>
      <c r="J18" s="6">
        <v>22.201000000000001</v>
      </c>
      <c r="K18" s="6">
        <v>2.931</v>
      </c>
      <c r="L18" s="22">
        <v>2</v>
      </c>
      <c r="M18" s="22" t="s">
        <v>454</v>
      </c>
      <c r="N18" s="14">
        <v>0</v>
      </c>
      <c r="O18" s="6" t="s">
        <v>771</v>
      </c>
      <c r="Q18" s="24"/>
      <c r="S18" s="24"/>
    </row>
    <row r="19" spans="1:19" s="6" customFormat="1" x14ac:dyDescent="0.25">
      <c r="A19" s="6" t="s">
        <v>778</v>
      </c>
      <c r="B19" s="6" t="s">
        <v>799</v>
      </c>
      <c r="C19" s="6">
        <v>2</v>
      </c>
      <c r="D19" s="6" t="s">
        <v>749</v>
      </c>
      <c r="E19" s="6">
        <v>11</v>
      </c>
      <c r="F19" s="6" t="s">
        <v>789</v>
      </c>
      <c r="G19" s="6">
        <v>3</v>
      </c>
      <c r="H19" s="6">
        <v>4</v>
      </c>
      <c r="I19" s="6">
        <v>145.643</v>
      </c>
      <c r="J19" s="6">
        <v>20.367000000000001</v>
      </c>
      <c r="K19" s="6">
        <v>1.879</v>
      </c>
      <c r="L19" s="22">
        <v>1</v>
      </c>
      <c r="M19" s="22" t="s">
        <v>454</v>
      </c>
      <c r="N19" s="14">
        <v>0</v>
      </c>
      <c r="O19" s="6" t="s">
        <v>771</v>
      </c>
      <c r="Q19" s="24"/>
      <c r="S19" s="24"/>
    </row>
    <row r="20" spans="1:19" s="6" customFormat="1" x14ac:dyDescent="0.25">
      <c r="A20" s="6" t="s">
        <v>790</v>
      </c>
      <c r="B20" s="6" t="s">
        <v>800</v>
      </c>
      <c r="C20" s="6">
        <v>3</v>
      </c>
      <c r="D20" s="6" t="s">
        <v>749</v>
      </c>
      <c r="E20" s="6">
        <v>1</v>
      </c>
      <c r="F20" s="6" t="s">
        <v>791</v>
      </c>
      <c r="G20" s="6">
        <v>1</v>
      </c>
      <c r="H20" s="6">
        <v>1</v>
      </c>
      <c r="I20" s="6">
        <v>8.9469999999999992</v>
      </c>
      <c r="J20" s="6">
        <v>85</v>
      </c>
      <c r="K20" s="6">
        <v>13.627000000000001</v>
      </c>
      <c r="L20" s="22">
        <v>0</v>
      </c>
      <c r="M20" s="22" t="s">
        <v>451</v>
      </c>
      <c r="N20" s="14" t="s">
        <v>452</v>
      </c>
      <c r="O20" s="6" t="s">
        <v>771</v>
      </c>
      <c r="Q20" s="24"/>
      <c r="S20" s="24"/>
    </row>
    <row r="21" spans="1:19" s="6" customFormat="1" x14ac:dyDescent="0.25">
      <c r="A21" s="6" t="s">
        <v>790</v>
      </c>
      <c r="B21" s="6" t="s">
        <v>800</v>
      </c>
      <c r="C21" s="6">
        <v>3</v>
      </c>
      <c r="D21" s="6" t="s">
        <v>749</v>
      </c>
      <c r="E21" s="6">
        <v>1.1000000000000001</v>
      </c>
      <c r="F21" s="6" t="s">
        <v>803</v>
      </c>
      <c r="G21" s="6">
        <v>1</v>
      </c>
      <c r="H21" s="6">
        <v>1</v>
      </c>
      <c r="I21" s="6">
        <v>7.3979999999999997</v>
      </c>
      <c r="J21" s="6">
        <v>98</v>
      </c>
      <c r="K21" s="6">
        <v>11.555999999999999</v>
      </c>
      <c r="L21" s="22">
        <v>0</v>
      </c>
      <c r="M21" s="22" t="s">
        <v>451</v>
      </c>
      <c r="N21" s="14" t="s">
        <v>452</v>
      </c>
      <c r="Q21" s="24"/>
      <c r="S21" s="24"/>
    </row>
    <row r="22" spans="1:19" s="6" customFormat="1" x14ac:dyDescent="0.25">
      <c r="A22" s="6" t="s">
        <v>790</v>
      </c>
      <c r="B22" s="6" t="s">
        <v>800</v>
      </c>
      <c r="C22" s="6">
        <v>3</v>
      </c>
      <c r="D22" s="6" t="s">
        <v>749</v>
      </c>
      <c r="E22" s="6">
        <v>1.2</v>
      </c>
      <c r="F22" s="6" t="s">
        <v>804</v>
      </c>
      <c r="G22" s="6">
        <v>1</v>
      </c>
      <c r="H22" s="6">
        <v>1</v>
      </c>
      <c r="I22" s="6">
        <v>4.6040000000000001</v>
      </c>
      <c r="J22" s="6">
        <v>98</v>
      </c>
      <c r="K22" s="6">
        <v>12.848000000000001</v>
      </c>
      <c r="L22" s="22">
        <v>0</v>
      </c>
      <c r="M22" s="22" t="s">
        <v>451</v>
      </c>
      <c r="N22" s="14" t="s">
        <v>452</v>
      </c>
      <c r="Q22" s="24"/>
      <c r="S22" s="24"/>
    </row>
    <row r="23" spans="1:19" s="6" customFormat="1" x14ac:dyDescent="0.25">
      <c r="A23" s="6" t="s">
        <v>790</v>
      </c>
      <c r="B23" s="6" t="s">
        <v>800</v>
      </c>
      <c r="C23" s="6">
        <v>3</v>
      </c>
      <c r="D23" s="6" t="s">
        <v>749</v>
      </c>
      <c r="E23" s="6">
        <v>1.3</v>
      </c>
      <c r="F23" s="6" t="s">
        <v>805</v>
      </c>
      <c r="G23" s="6">
        <v>1</v>
      </c>
      <c r="H23" s="6">
        <v>1</v>
      </c>
      <c r="I23" s="6">
        <v>5.4569999999999999</v>
      </c>
      <c r="J23" s="6">
        <v>85</v>
      </c>
      <c r="K23" s="6">
        <v>10.913</v>
      </c>
      <c r="L23" s="22">
        <v>0</v>
      </c>
      <c r="M23" s="22" t="s">
        <v>451</v>
      </c>
      <c r="N23" s="14" t="s">
        <v>452</v>
      </c>
      <c r="Q23" s="24"/>
      <c r="S23" s="24"/>
    </row>
    <row r="24" spans="1:19" s="6" customFormat="1" x14ac:dyDescent="0.25">
      <c r="A24" s="6" t="s">
        <v>790</v>
      </c>
      <c r="B24" s="6" t="s">
        <v>800</v>
      </c>
      <c r="C24" s="6">
        <v>3</v>
      </c>
      <c r="D24" s="6" t="s">
        <v>749</v>
      </c>
      <c r="E24" s="6">
        <v>2</v>
      </c>
      <c r="F24" s="6" t="s">
        <v>792</v>
      </c>
      <c r="G24" s="6">
        <v>3</v>
      </c>
      <c r="H24" s="6">
        <v>3</v>
      </c>
      <c r="I24" s="6">
        <v>54.697000000000003</v>
      </c>
      <c r="J24" s="6">
        <v>16.417000000000002</v>
      </c>
      <c r="K24" s="6">
        <v>2.3959999999999999</v>
      </c>
      <c r="L24" s="22">
        <v>0</v>
      </c>
      <c r="M24" s="22" t="s">
        <v>451</v>
      </c>
      <c r="N24" s="14" t="s">
        <v>452</v>
      </c>
      <c r="O24" s="6" t="s">
        <v>771</v>
      </c>
      <c r="Q24" s="24"/>
      <c r="S24" s="24"/>
    </row>
    <row r="25" spans="1:19" s="6" customFormat="1" x14ac:dyDescent="0.25">
      <c r="A25" s="6" t="s">
        <v>790</v>
      </c>
      <c r="B25" s="6" t="s">
        <v>800</v>
      </c>
      <c r="C25" s="6">
        <v>3</v>
      </c>
      <c r="D25" s="6" t="s">
        <v>749</v>
      </c>
      <c r="E25" s="6">
        <v>3</v>
      </c>
      <c r="F25" s="6" t="s">
        <v>793</v>
      </c>
      <c r="G25" s="6">
        <v>3</v>
      </c>
      <c r="H25" s="6">
        <v>3</v>
      </c>
      <c r="I25" s="6">
        <f>46.034+23.753</f>
        <v>69.787000000000006</v>
      </c>
      <c r="J25" s="6">
        <v>41.402000000000001</v>
      </c>
      <c r="K25" s="6">
        <v>7.9260000000000002</v>
      </c>
      <c r="L25" s="22">
        <v>1</v>
      </c>
      <c r="M25" s="22" t="s">
        <v>454</v>
      </c>
      <c r="N25" s="14">
        <v>0</v>
      </c>
      <c r="O25" s="6" t="s">
        <v>771</v>
      </c>
      <c r="Q25" s="24"/>
      <c r="S25" s="24"/>
    </row>
    <row r="26" spans="1:19" s="6" customFormat="1" x14ac:dyDescent="0.25">
      <c r="A26" s="6" t="s">
        <v>790</v>
      </c>
      <c r="B26" s="6" t="s">
        <v>800</v>
      </c>
      <c r="C26" s="6">
        <v>3</v>
      </c>
      <c r="D26" s="6" t="s">
        <v>749</v>
      </c>
      <c r="E26" s="6">
        <v>4</v>
      </c>
      <c r="F26" s="6" t="s">
        <v>794</v>
      </c>
      <c r="G26" s="6">
        <v>2</v>
      </c>
      <c r="H26" s="6">
        <v>3</v>
      </c>
      <c r="I26" s="6">
        <v>31.125</v>
      </c>
      <c r="J26" s="6">
        <v>42.207999999999998</v>
      </c>
      <c r="K26" s="6">
        <v>3.1429999999999998</v>
      </c>
      <c r="L26" s="22">
        <v>2</v>
      </c>
      <c r="M26" s="22" t="s">
        <v>454</v>
      </c>
      <c r="N26" s="14">
        <v>0</v>
      </c>
      <c r="O26" s="6" t="s">
        <v>771</v>
      </c>
      <c r="Q26" s="24"/>
      <c r="S26" s="24"/>
    </row>
    <row r="27" spans="1:19" s="6" customFormat="1" x14ac:dyDescent="0.25">
      <c r="A27" s="6" t="s">
        <v>790</v>
      </c>
      <c r="B27" s="6" t="s">
        <v>800</v>
      </c>
      <c r="C27" s="6">
        <v>3</v>
      </c>
      <c r="D27" s="6" t="s">
        <v>749</v>
      </c>
      <c r="E27" s="6">
        <v>5</v>
      </c>
      <c r="G27" s="6">
        <v>3</v>
      </c>
      <c r="H27" s="6">
        <v>3</v>
      </c>
      <c r="I27" s="6">
        <v>57.685000000000002</v>
      </c>
      <c r="J27" s="6">
        <v>27.245999999999999</v>
      </c>
      <c r="K27" s="6">
        <v>8.7409999999999997</v>
      </c>
      <c r="L27" s="22">
        <v>1</v>
      </c>
      <c r="M27" s="22" t="s">
        <v>451</v>
      </c>
      <c r="N27" s="14">
        <v>17.402999999999999</v>
      </c>
      <c r="O27" s="6" t="s">
        <v>771</v>
      </c>
      <c r="Q27" s="24"/>
      <c r="S27" s="24"/>
    </row>
    <row r="28" spans="1:19" s="6" customFormat="1" x14ac:dyDescent="0.25">
      <c r="A28" s="6" t="s">
        <v>795</v>
      </c>
      <c r="B28" s="6" t="s">
        <v>800</v>
      </c>
      <c r="C28" s="6">
        <v>2</v>
      </c>
      <c r="D28" s="6" t="s">
        <v>751</v>
      </c>
      <c r="E28" s="6">
        <v>1.1000000000000001</v>
      </c>
      <c r="F28" s="26" t="s">
        <v>808</v>
      </c>
      <c r="G28" s="26">
        <v>1</v>
      </c>
      <c r="H28" s="6">
        <v>1</v>
      </c>
      <c r="I28" s="6">
        <v>13.071</v>
      </c>
      <c r="J28" s="6">
        <v>51.616999999999997</v>
      </c>
      <c r="K28" s="6">
        <v>10.436999999999999</v>
      </c>
      <c r="L28" s="22">
        <v>0</v>
      </c>
      <c r="M28" s="22" t="s">
        <v>451</v>
      </c>
      <c r="N28" s="14">
        <v>0</v>
      </c>
      <c r="O28" s="6" t="s">
        <v>771</v>
      </c>
      <c r="Q28" s="24"/>
      <c r="S28" s="24"/>
    </row>
    <row r="29" spans="1:19" s="6" customFormat="1" x14ac:dyDescent="0.25">
      <c r="A29" s="6" t="s">
        <v>795</v>
      </c>
      <c r="B29" s="6" t="s">
        <v>800</v>
      </c>
      <c r="C29" s="6">
        <v>2</v>
      </c>
      <c r="D29" s="6" t="s">
        <v>751</v>
      </c>
      <c r="E29" s="6">
        <v>1.2</v>
      </c>
      <c r="F29" s="6" t="s">
        <v>806</v>
      </c>
      <c r="G29" s="6">
        <v>1</v>
      </c>
      <c r="H29" s="6">
        <v>1</v>
      </c>
      <c r="I29" s="6">
        <v>8.49</v>
      </c>
      <c r="J29" s="6">
        <v>67.623000000000005</v>
      </c>
      <c r="K29" s="6">
        <v>10.31</v>
      </c>
      <c r="L29" s="22">
        <v>0</v>
      </c>
      <c r="M29" s="22" t="s">
        <v>451</v>
      </c>
      <c r="N29" s="14">
        <v>0</v>
      </c>
      <c r="O29" s="6" t="s">
        <v>771</v>
      </c>
      <c r="Q29" s="24"/>
      <c r="S29" s="24"/>
    </row>
    <row r="30" spans="1:19" s="6" customFormat="1" x14ac:dyDescent="0.25">
      <c r="A30" s="6" t="s">
        <v>795</v>
      </c>
      <c r="B30" s="6" t="s">
        <v>800</v>
      </c>
      <c r="C30" s="6">
        <v>2</v>
      </c>
      <c r="D30" s="6" t="s">
        <v>751</v>
      </c>
      <c r="E30" s="6">
        <v>1.3</v>
      </c>
      <c r="F30" s="6" t="s">
        <v>807</v>
      </c>
      <c r="G30" s="6">
        <v>1</v>
      </c>
      <c r="H30" s="6">
        <v>1</v>
      </c>
      <c r="I30" s="6">
        <v>5.63</v>
      </c>
      <c r="J30" s="6">
        <v>43.643000000000001</v>
      </c>
      <c r="K30" s="6">
        <v>11.33</v>
      </c>
      <c r="L30" s="22">
        <v>0</v>
      </c>
      <c r="M30" s="22" t="s">
        <v>451</v>
      </c>
      <c r="N30" s="14">
        <v>0</v>
      </c>
      <c r="O30" s="6" t="s">
        <v>771</v>
      </c>
      <c r="Q30" s="24"/>
      <c r="S30" s="24"/>
    </row>
    <row r="31" spans="1:19" s="6" customFormat="1" x14ac:dyDescent="0.25">
      <c r="A31" s="6" t="s">
        <v>795</v>
      </c>
      <c r="B31" s="6" t="s">
        <v>800</v>
      </c>
      <c r="C31" s="6">
        <v>2</v>
      </c>
      <c r="D31" s="6" t="s">
        <v>751</v>
      </c>
      <c r="E31" s="6">
        <v>1.4</v>
      </c>
      <c r="F31" s="6" t="s">
        <v>809</v>
      </c>
      <c r="G31" s="6">
        <v>1</v>
      </c>
      <c r="H31" s="6">
        <v>1</v>
      </c>
      <c r="I31" s="6">
        <v>3.21</v>
      </c>
      <c r="J31" s="6">
        <v>58.457000000000001</v>
      </c>
      <c r="K31" s="6">
        <v>10.19</v>
      </c>
      <c r="L31" s="22">
        <v>0</v>
      </c>
      <c r="M31" s="22" t="s">
        <v>451</v>
      </c>
      <c r="N31" s="14">
        <v>0</v>
      </c>
      <c r="O31" s="6" t="s">
        <v>771</v>
      </c>
      <c r="Q31" s="24"/>
      <c r="S31" s="24"/>
    </row>
    <row r="32" spans="1:19" s="6" customFormat="1" x14ac:dyDescent="0.25">
      <c r="A32" s="6" t="s">
        <v>795</v>
      </c>
      <c r="B32" s="6" t="s">
        <v>800</v>
      </c>
      <c r="C32" s="6">
        <v>2</v>
      </c>
      <c r="D32" s="6" t="s">
        <v>751</v>
      </c>
      <c r="E32" s="6">
        <v>1.5</v>
      </c>
      <c r="F32" s="6" t="s">
        <v>810</v>
      </c>
      <c r="G32" s="6">
        <v>1</v>
      </c>
      <c r="H32" s="6">
        <v>1</v>
      </c>
      <c r="I32" s="6">
        <v>5.22</v>
      </c>
      <c r="J32" s="6">
        <v>72.396000000000001</v>
      </c>
      <c r="K32" s="6">
        <v>11.89</v>
      </c>
      <c r="L32" s="22">
        <v>0</v>
      </c>
      <c r="M32" s="22" t="s">
        <v>451</v>
      </c>
      <c r="N32" s="14">
        <v>0</v>
      </c>
      <c r="O32" s="6" t="s">
        <v>771</v>
      </c>
      <c r="Q32" s="24"/>
      <c r="S32" s="24"/>
    </row>
    <row r="33" spans="1:19" s="6" customFormat="1" x14ac:dyDescent="0.25">
      <c r="A33" s="6" t="s">
        <v>795</v>
      </c>
      <c r="B33" s="6" t="s">
        <v>800</v>
      </c>
      <c r="C33" s="6">
        <v>2</v>
      </c>
      <c r="D33" s="6" t="s">
        <v>751</v>
      </c>
      <c r="E33" s="6">
        <v>1.6</v>
      </c>
      <c r="F33" s="6" t="s">
        <v>811</v>
      </c>
      <c r="G33" s="6">
        <v>1</v>
      </c>
      <c r="H33" s="6">
        <v>1</v>
      </c>
      <c r="I33" s="6">
        <v>6.32</v>
      </c>
      <c r="J33" s="6">
        <v>70.534000000000006</v>
      </c>
      <c r="K33" s="6">
        <v>11.803000000000001</v>
      </c>
      <c r="L33" s="22">
        <v>0</v>
      </c>
      <c r="M33" s="22" t="s">
        <v>451</v>
      </c>
      <c r="N33" s="14">
        <v>0</v>
      </c>
      <c r="O33" s="6" t="s">
        <v>771</v>
      </c>
      <c r="Q33" s="24"/>
      <c r="S33" s="24"/>
    </row>
    <row r="34" spans="1:19" s="6" customFormat="1" x14ac:dyDescent="0.25">
      <c r="A34" s="6" t="s">
        <v>795</v>
      </c>
      <c r="B34" s="6" t="s">
        <v>800</v>
      </c>
      <c r="C34" s="6">
        <v>2</v>
      </c>
      <c r="D34" s="6" t="s">
        <v>751</v>
      </c>
      <c r="E34" s="6">
        <v>1.7</v>
      </c>
      <c r="F34" s="6" t="s">
        <v>812</v>
      </c>
      <c r="G34" s="6">
        <v>1</v>
      </c>
      <c r="H34" s="6">
        <v>1</v>
      </c>
      <c r="I34" s="6">
        <v>6.5469999999999997</v>
      </c>
      <c r="J34" s="6">
        <v>77.168000000000006</v>
      </c>
      <c r="K34" s="6">
        <v>14.048</v>
      </c>
      <c r="L34" s="22">
        <v>0</v>
      </c>
      <c r="M34" s="22" t="s">
        <v>451</v>
      </c>
      <c r="N34" s="14">
        <v>0</v>
      </c>
      <c r="O34" s="6" t="s">
        <v>771</v>
      </c>
      <c r="Q34" s="24"/>
      <c r="S34" s="24"/>
    </row>
    <row r="35" spans="1:19" s="6" customFormat="1" x14ac:dyDescent="0.25">
      <c r="A35" s="6" t="s">
        <v>795</v>
      </c>
      <c r="B35" s="6" t="s">
        <v>800</v>
      </c>
      <c r="C35" s="6">
        <v>2</v>
      </c>
      <c r="D35" s="6" t="s">
        <v>751</v>
      </c>
      <c r="E35" s="6">
        <v>1.8</v>
      </c>
      <c r="F35" s="6" t="s">
        <v>813</v>
      </c>
      <c r="G35" s="6">
        <v>1</v>
      </c>
      <c r="H35" s="6">
        <v>1</v>
      </c>
      <c r="I35" s="6">
        <v>14.486000000000001</v>
      </c>
      <c r="J35" s="6">
        <v>84.632000000000005</v>
      </c>
      <c r="K35" s="6">
        <v>13.646000000000001</v>
      </c>
      <c r="L35" s="22">
        <v>0</v>
      </c>
      <c r="M35" s="22" t="s">
        <v>451</v>
      </c>
      <c r="N35" s="14">
        <v>0</v>
      </c>
      <c r="O35" s="6" t="s">
        <v>771</v>
      </c>
      <c r="Q35" s="24"/>
      <c r="S35" s="24"/>
    </row>
    <row r="36" spans="1:19" s="6" customFormat="1" x14ac:dyDescent="0.25">
      <c r="A36" s="6" t="s">
        <v>795</v>
      </c>
      <c r="B36" s="6" t="s">
        <v>800</v>
      </c>
      <c r="C36" s="6">
        <v>2</v>
      </c>
      <c r="D36" s="6" t="s">
        <v>751</v>
      </c>
      <c r="E36" s="6">
        <v>1.9</v>
      </c>
      <c r="F36" s="6" t="s">
        <v>814</v>
      </c>
      <c r="G36" s="6">
        <v>1</v>
      </c>
      <c r="H36" s="6">
        <v>1</v>
      </c>
      <c r="I36" s="6">
        <v>4.5759999999999996</v>
      </c>
      <c r="J36" s="6">
        <v>74.274000000000001</v>
      </c>
      <c r="K36" s="6">
        <v>12.260999999999999</v>
      </c>
      <c r="L36" s="22">
        <v>0</v>
      </c>
      <c r="M36" s="22" t="s">
        <v>451</v>
      </c>
      <c r="N36" s="14">
        <v>0</v>
      </c>
      <c r="O36" s="6" t="s">
        <v>771</v>
      </c>
      <c r="Q36" s="24"/>
      <c r="S36" s="24"/>
    </row>
    <row r="37" spans="1:19" s="6" customFormat="1" x14ac:dyDescent="0.25">
      <c r="A37" s="6" t="s">
        <v>795</v>
      </c>
      <c r="B37" s="6" t="s">
        <v>800</v>
      </c>
      <c r="C37" s="6">
        <v>2</v>
      </c>
      <c r="D37" s="6" t="s">
        <v>751</v>
      </c>
      <c r="E37" s="6">
        <v>1.91</v>
      </c>
      <c r="F37" s="6" t="s">
        <v>815</v>
      </c>
      <c r="G37" s="6">
        <v>1</v>
      </c>
      <c r="H37" s="6">
        <v>1</v>
      </c>
      <c r="I37" s="6">
        <v>5.2240000000000002</v>
      </c>
      <c r="J37" s="6">
        <v>81.674999999999997</v>
      </c>
      <c r="K37" s="6">
        <v>12.401999999999999</v>
      </c>
      <c r="L37" s="22">
        <v>0</v>
      </c>
      <c r="M37" s="22" t="s">
        <v>451</v>
      </c>
      <c r="N37" s="14">
        <v>0</v>
      </c>
      <c r="O37" s="6" t="s">
        <v>771</v>
      </c>
      <c r="Q37" s="24"/>
      <c r="S37" s="24"/>
    </row>
    <row r="38" spans="1:19" s="6" customFormat="1" x14ac:dyDescent="0.25">
      <c r="A38" s="6" t="s">
        <v>795</v>
      </c>
      <c r="B38" s="6" t="s">
        <v>800</v>
      </c>
      <c r="C38" s="6">
        <v>2</v>
      </c>
      <c r="D38" s="6" t="s">
        <v>751</v>
      </c>
      <c r="E38" s="6">
        <v>2</v>
      </c>
      <c r="F38" s="6" t="s">
        <v>796</v>
      </c>
      <c r="G38" s="6">
        <v>3</v>
      </c>
      <c r="H38" s="6">
        <v>2</v>
      </c>
      <c r="I38" s="6">
        <v>28.207000000000001</v>
      </c>
      <c r="J38" s="6">
        <v>47.84</v>
      </c>
      <c r="K38" s="6">
        <v>5.52</v>
      </c>
      <c r="L38" s="22">
        <v>1</v>
      </c>
      <c r="M38" s="22" t="s">
        <v>451</v>
      </c>
      <c r="N38" s="14">
        <v>9.6289999999999996</v>
      </c>
      <c r="O38" s="6" t="s">
        <v>771</v>
      </c>
      <c r="Q38" s="24"/>
      <c r="S38" s="24"/>
    </row>
    <row r="39" spans="1:19" s="6" customFormat="1" x14ac:dyDescent="0.25">
      <c r="A39" s="6" t="s">
        <v>797</v>
      </c>
      <c r="B39" s="6" t="s">
        <v>801</v>
      </c>
      <c r="C39" s="6">
        <v>1</v>
      </c>
      <c r="D39" s="6" t="s">
        <v>751</v>
      </c>
      <c r="E39" s="6">
        <v>1</v>
      </c>
      <c r="F39" s="6" t="s">
        <v>818</v>
      </c>
      <c r="G39" s="6">
        <v>3</v>
      </c>
      <c r="H39" s="6">
        <v>4</v>
      </c>
      <c r="I39" s="6">
        <v>196.52199999999999</v>
      </c>
      <c r="J39" s="6">
        <v>11.999000000000001</v>
      </c>
      <c r="K39" s="6">
        <v>4.2389999999999999</v>
      </c>
      <c r="L39" s="22">
        <v>3</v>
      </c>
      <c r="M39" s="22" t="s">
        <v>454</v>
      </c>
      <c r="N39" s="14">
        <v>0</v>
      </c>
      <c r="O39" s="6" t="s">
        <v>771</v>
      </c>
      <c r="Q39" s="24"/>
      <c r="S39" s="24"/>
    </row>
    <row r="40" spans="1:19" s="6" customFormat="1" x14ac:dyDescent="0.25">
      <c r="A40" s="6" t="s">
        <v>797</v>
      </c>
      <c r="B40" s="6" t="s">
        <v>801</v>
      </c>
      <c r="C40" s="6">
        <v>1</v>
      </c>
      <c r="D40" s="6" t="s">
        <v>751</v>
      </c>
      <c r="E40" s="6">
        <v>2</v>
      </c>
      <c r="F40" s="6" t="s">
        <v>819</v>
      </c>
      <c r="G40" s="6">
        <v>3</v>
      </c>
      <c r="H40" s="6">
        <v>3</v>
      </c>
      <c r="I40" s="6">
        <f>187.223+73.04</f>
        <v>260.26300000000003</v>
      </c>
      <c r="J40" s="6">
        <v>23.654</v>
      </c>
      <c r="K40" s="6">
        <v>7.0620000000000003</v>
      </c>
      <c r="L40" s="22">
        <v>1</v>
      </c>
      <c r="M40" s="22" t="s">
        <v>454</v>
      </c>
      <c r="N40" s="14">
        <v>0</v>
      </c>
      <c r="O40" s="6" t="s">
        <v>771</v>
      </c>
      <c r="Q40" s="24"/>
      <c r="S40" s="24"/>
    </row>
    <row r="41" spans="1:19" s="6" customFormat="1" x14ac:dyDescent="0.25">
      <c r="A41" s="6" t="s">
        <v>797</v>
      </c>
      <c r="B41" s="6" t="s">
        <v>801</v>
      </c>
      <c r="C41" s="6">
        <v>1</v>
      </c>
      <c r="D41" s="6" t="s">
        <v>751</v>
      </c>
      <c r="E41" s="6">
        <v>3</v>
      </c>
      <c r="F41" s="6" t="s">
        <v>820</v>
      </c>
      <c r="G41" s="6">
        <v>3</v>
      </c>
      <c r="H41" s="6">
        <v>4</v>
      </c>
      <c r="I41" s="6">
        <v>108.175</v>
      </c>
      <c r="J41" s="6">
        <v>14.529</v>
      </c>
      <c r="K41" s="6">
        <v>5.1970000000000001</v>
      </c>
      <c r="L41" s="22">
        <v>1</v>
      </c>
      <c r="M41" s="22" t="s">
        <v>451</v>
      </c>
      <c r="N41" s="14">
        <v>20.87</v>
      </c>
      <c r="O41" s="6" t="s">
        <v>771</v>
      </c>
      <c r="Q41" s="24"/>
      <c r="S41" s="24"/>
    </row>
    <row r="42" spans="1:19" s="6" customFormat="1" x14ac:dyDescent="0.25">
      <c r="A42" s="6" t="s">
        <v>797</v>
      </c>
      <c r="B42" s="6" t="s">
        <v>801</v>
      </c>
      <c r="C42" s="6">
        <v>1</v>
      </c>
      <c r="D42" s="6" t="s">
        <v>751</v>
      </c>
      <c r="E42" s="6">
        <v>4</v>
      </c>
      <c r="F42" s="6" t="s">
        <v>821</v>
      </c>
      <c r="G42" s="6">
        <v>3</v>
      </c>
      <c r="H42" s="6">
        <v>4</v>
      </c>
      <c r="I42" s="6">
        <v>183.58799999999999</v>
      </c>
      <c r="J42" s="6">
        <v>14.749000000000001</v>
      </c>
      <c r="K42" s="6">
        <v>4.6219999999999999</v>
      </c>
      <c r="L42" s="22">
        <v>2</v>
      </c>
      <c r="M42" s="22" t="s">
        <v>454</v>
      </c>
      <c r="N42" s="14">
        <v>0</v>
      </c>
      <c r="O42" s="6" t="s">
        <v>771</v>
      </c>
      <c r="Q42" s="24"/>
      <c r="S42" s="24"/>
    </row>
    <row r="43" spans="1:19" s="6" customFormat="1" x14ac:dyDescent="0.25">
      <c r="A43" s="6" t="s">
        <v>797</v>
      </c>
      <c r="B43" s="6" t="s">
        <v>801</v>
      </c>
      <c r="C43" s="6">
        <v>1</v>
      </c>
      <c r="D43" s="6" t="s">
        <v>751</v>
      </c>
      <c r="E43" s="6">
        <v>5</v>
      </c>
      <c r="F43" s="6" t="s">
        <v>822</v>
      </c>
      <c r="G43" s="6">
        <v>3</v>
      </c>
      <c r="H43" s="6">
        <v>3</v>
      </c>
      <c r="I43" s="6">
        <v>115.837</v>
      </c>
      <c r="J43" s="6">
        <v>32.557000000000002</v>
      </c>
      <c r="K43" s="6">
        <v>8.1110000000000007</v>
      </c>
      <c r="L43" s="22">
        <v>1</v>
      </c>
      <c r="M43" s="22" t="s">
        <v>451</v>
      </c>
      <c r="N43" s="14">
        <v>22.081</v>
      </c>
      <c r="O43" s="6" t="s">
        <v>771</v>
      </c>
      <c r="Q43" s="24"/>
      <c r="S43" s="24"/>
    </row>
    <row r="44" spans="1:19" s="6" customFormat="1" x14ac:dyDescent="0.25">
      <c r="A44" s="6" t="s">
        <v>797</v>
      </c>
      <c r="B44" s="6" t="s">
        <v>801</v>
      </c>
      <c r="C44" s="6">
        <v>1</v>
      </c>
      <c r="D44" s="6" t="s">
        <v>751</v>
      </c>
      <c r="E44" s="6">
        <v>6</v>
      </c>
      <c r="F44" s="6" t="s">
        <v>823</v>
      </c>
      <c r="G44" s="6">
        <v>3</v>
      </c>
      <c r="H44" s="6">
        <v>2</v>
      </c>
      <c r="I44" s="6">
        <v>41.93</v>
      </c>
      <c r="J44" s="6">
        <v>28.98</v>
      </c>
      <c r="K44" s="6">
        <v>5.5819999999999999</v>
      </c>
      <c r="L44" s="22">
        <v>0</v>
      </c>
      <c r="M44" s="22" t="s">
        <v>451</v>
      </c>
      <c r="N44" s="14" t="s">
        <v>452</v>
      </c>
      <c r="O44" s="6" t="s">
        <v>771</v>
      </c>
      <c r="Q44" s="24"/>
      <c r="S44" s="24"/>
    </row>
    <row r="45" spans="1:19" s="6" customFormat="1" x14ac:dyDescent="0.25">
      <c r="A45" s="6" t="s">
        <v>797</v>
      </c>
      <c r="B45" s="6" t="s">
        <v>801</v>
      </c>
      <c r="C45" s="6">
        <v>1</v>
      </c>
      <c r="D45" s="6" t="s">
        <v>751</v>
      </c>
      <c r="E45" s="6">
        <v>7</v>
      </c>
      <c r="F45" s="6" t="s">
        <v>824</v>
      </c>
      <c r="G45" s="6">
        <v>3</v>
      </c>
      <c r="H45" s="6">
        <v>2</v>
      </c>
      <c r="I45" s="6">
        <f>105.071+32.063</f>
        <v>137.13400000000001</v>
      </c>
      <c r="J45" s="6">
        <v>59.546999999999997</v>
      </c>
      <c r="K45" s="6">
        <v>8.1809999999999992</v>
      </c>
      <c r="L45" s="22">
        <v>2</v>
      </c>
      <c r="M45" s="22" t="s">
        <v>454</v>
      </c>
      <c r="N45" s="14">
        <v>0</v>
      </c>
      <c r="O45" s="6" t="s">
        <v>771</v>
      </c>
      <c r="Q45" s="24"/>
      <c r="S45" s="24"/>
    </row>
    <row r="46" spans="1:19" s="6" customFormat="1" x14ac:dyDescent="0.25">
      <c r="A46" s="6" t="s">
        <v>797</v>
      </c>
      <c r="B46" s="6" t="s">
        <v>801</v>
      </c>
      <c r="C46" s="6">
        <v>1</v>
      </c>
      <c r="D46" s="6" t="s">
        <v>751</v>
      </c>
      <c r="E46" s="6">
        <v>8</v>
      </c>
      <c r="F46" s="6" t="s">
        <v>825</v>
      </c>
      <c r="G46" s="6">
        <v>3</v>
      </c>
      <c r="H46" s="6">
        <v>3</v>
      </c>
      <c r="I46" s="6">
        <v>38.802999999999997</v>
      </c>
      <c r="J46" s="6">
        <v>25.67</v>
      </c>
      <c r="K46" s="6">
        <v>4.7</v>
      </c>
      <c r="L46" s="22">
        <v>1</v>
      </c>
      <c r="M46" s="22" t="s">
        <v>451</v>
      </c>
      <c r="N46" s="14">
        <v>3.2250000000000001</v>
      </c>
      <c r="O46" s="6" t="s">
        <v>771</v>
      </c>
      <c r="Q46" s="24"/>
      <c r="S46" s="24"/>
    </row>
    <row r="47" spans="1:19" s="6" customFormat="1" x14ac:dyDescent="0.25">
      <c r="A47" s="6" t="s">
        <v>797</v>
      </c>
      <c r="B47" s="6" t="s">
        <v>801</v>
      </c>
      <c r="C47" s="6">
        <v>1</v>
      </c>
      <c r="D47" s="6" t="s">
        <v>751</v>
      </c>
      <c r="E47" s="6">
        <v>10</v>
      </c>
      <c r="F47" s="6" t="s">
        <v>826</v>
      </c>
      <c r="G47" s="6">
        <v>2</v>
      </c>
      <c r="H47" s="6">
        <v>3</v>
      </c>
      <c r="I47" s="6">
        <v>117.754</v>
      </c>
      <c r="J47" s="6">
        <v>21.452000000000002</v>
      </c>
      <c r="K47" s="6">
        <v>7.54</v>
      </c>
      <c r="L47" s="22">
        <v>2</v>
      </c>
      <c r="M47" s="22" t="s">
        <v>454</v>
      </c>
      <c r="N47" s="14">
        <v>0</v>
      </c>
      <c r="O47" s="6" t="s">
        <v>771</v>
      </c>
      <c r="Q47" s="24"/>
      <c r="S47" s="24"/>
    </row>
    <row r="48" spans="1:19" s="6" customFormat="1" x14ac:dyDescent="0.25">
      <c r="A48" s="6" t="s">
        <v>797</v>
      </c>
      <c r="B48" s="6" t="s">
        <v>801</v>
      </c>
      <c r="C48" s="6">
        <v>1</v>
      </c>
      <c r="D48" s="6" t="s">
        <v>751</v>
      </c>
      <c r="E48" s="6">
        <v>11</v>
      </c>
      <c r="F48" s="6" t="s">
        <v>827</v>
      </c>
      <c r="G48" s="6">
        <v>3</v>
      </c>
      <c r="H48" s="6">
        <v>3</v>
      </c>
      <c r="I48" s="6">
        <f>37.005+9.969</f>
        <v>46.974000000000004</v>
      </c>
      <c r="J48" s="6">
        <v>35</v>
      </c>
      <c r="K48" s="6">
        <v>4.9020000000000001</v>
      </c>
      <c r="L48" s="22">
        <v>1</v>
      </c>
      <c r="M48" s="22" t="s">
        <v>451</v>
      </c>
      <c r="N48" s="14">
        <v>15.111000000000001</v>
      </c>
      <c r="O48" s="6" t="s">
        <v>771</v>
      </c>
      <c r="Q48" s="24"/>
      <c r="S48" s="24"/>
    </row>
    <row r="49" spans="1:19" s="6" customFormat="1" x14ac:dyDescent="0.25">
      <c r="A49" s="6" t="s">
        <v>797</v>
      </c>
      <c r="B49" s="6" t="s">
        <v>801</v>
      </c>
      <c r="C49" s="6">
        <v>1</v>
      </c>
      <c r="D49" s="6" t="s">
        <v>751</v>
      </c>
      <c r="E49" s="6">
        <v>12</v>
      </c>
      <c r="F49" s="6" t="s">
        <v>828</v>
      </c>
      <c r="G49" s="6">
        <v>2</v>
      </c>
      <c r="H49" s="6">
        <v>3</v>
      </c>
      <c r="I49" s="6">
        <f>62.133+22.794</f>
        <v>84.927000000000007</v>
      </c>
      <c r="J49" s="6">
        <v>23.858000000000001</v>
      </c>
      <c r="K49" s="6">
        <v>7.8949999999999996</v>
      </c>
      <c r="L49" s="22">
        <v>1</v>
      </c>
      <c r="M49" s="22" t="s">
        <v>454</v>
      </c>
      <c r="N49" s="14">
        <v>0</v>
      </c>
      <c r="O49" s="6" t="s">
        <v>771</v>
      </c>
      <c r="Q49" s="24"/>
      <c r="S49" s="24"/>
    </row>
    <row r="50" spans="1:19" s="6" customFormat="1" x14ac:dyDescent="0.25">
      <c r="A50" s="6" t="s">
        <v>797</v>
      </c>
      <c r="B50" s="6" t="s">
        <v>801</v>
      </c>
      <c r="C50" s="6">
        <v>1</v>
      </c>
      <c r="D50" s="6" t="s">
        <v>751</v>
      </c>
      <c r="E50" s="6">
        <v>13</v>
      </c>
      <c r="F50" s="6" t="s">
        <v>829</v>
      </c>
      <c r="G50" s="6">
        <v>2</v>
      </c>
      <c r="H50" s="6">
        <v>2</v>
      </c>
      <c r="I50" s="6">
        <v>92.147999999999996</v>
      </c>
      <c r="J50" s="6">
        <v>41.981000000000002</v>
      </c>
      <c r="K50" s="6">
        <v>7.8490000000000002</v>
      </c>
      <c r="L50" s="22">
        <v>1</v>
      </c>
      <c r="M50" s="22" t="s">
        <v>454</v>
      </c>
      <c r="N50" s="14">
        <v>0</v>
      </c>
      <c r="O50" s="6" t="s">
        <v>771</v>
      </c>
      <c r="Q50" s="24"/>
      <c r="S50" s="24"/>
    </row>
    <row r="51" spans="1:19" s="6" customFormat="1" x14ac:dyDescent="0.25">
      <c r="A51" s="6" t="s">
        <v>797</v>
      </c>
      <c r="B51" s="6" t="s">
        <v>801</v>
      </c>
      <c r="C51" s="6">
        <v>1</v>
      </c>
      <c r="D51" s="6" t="s">
        <v>751</v>
      </c>
      <c r="E51" s="6">
        <v>14</v>
      </c>
      <c r="G51" s="6">
        <v>3</v>
      </c>
      <c r="H51" s="6">
        <v>3</v>
      </c>
      <c r="I51" s="6">
        <v>47.393000000000001</v>
      </c>
      <c r="J51" s="6">
        <v>29.242000000000001</v>
      </c>
      <c r="K51" s="6">
        <v>3.3119999999999998</v>
      </c>
      <c r="L51" s="22">
        <v>0</v>
      </c>
      <c r="M51" s="22" t="s">
        <v>451</v>
      </c>
      <c r="N51" s="14" t="s">
        <v>452</v>
      </c>
      <c r="O51" s="6" t="s">
        <v>771</v>
      </c>
      <c r="Q51" s="24"/>
      <c r="S51" s="24"/>
    </row>
    <row r="52" spans="1:19" s="6" customFormat="1" x14ac:dyDescent="0.25">
      <c r="A52" s="6" t="s">
        <v>797</v>
      </c>
      <c r="B52" s="6" t="s">
        <v>801</v>
      </c>
      <c r="C52" s="6">
        <v>1</v>
      </c>
      <c r="D52" s="6" t="s">
        <v>751</v>
      </c>
      <c r="E52" s="6">
        <v>15</v>
      </c>
      <c r="F52" s="6" t="s">
        <v>830</v>
      </c>
      <c r="G52" s="6">
        <v>3</v>
      </c>
      <c r="H52" s="6">
        <v>3</v>
      </c>
      <c r="I52" s="6">
        <v>109.361</v>
      </c>
      <c r="J52" s="6">
        <v>22.884</v>
      </c>
      <c r="K52" s="6">
        <v>5.1970000000000001</v>
      </c>
      <c r="L52" s="22">
        <v>0</v>
      </c>
      <c r="M52" s="22" t="s">
        <v>451</v>
      </c>
      <c r="N52" s="14" t="s">
        <v>452</v>
      </c>
      <c r="O52" s="6" t="s">
        <v>771</v>
      </c>
      <c r="Q52" s="24"/>
      <c r="S52" s="24"/>
    </row>
    <row r="53" spans="1:19" s="6" customFormat="1" x14ac:dyDescent="0.25">
      <c r="A53" s="6" t="s">
        <v>797</v>
      </c>
      <c r="B53" s="6" t="s">
        <v>801</v>
      </c>
      <c r="C53" s="6">
        <v>1</v>
      </c>
      <c r="D53" s="6" t="s">
        <v>751</v>
      </c>
      <c r="E53" s="6">
        <v>17</v>
      </c>
      <c r="G53" s="6">
        <v>3</v>
      </c>
      <c r="H53" s="6">
        <v>2</v>
      </c>
      <c r="I53" s="6">
        <f>66.406+14.104</f>
        <v>80.510000000000005</v>
      </c>
      <c r="J53" s="6">
        <v>51.104999999999997</v>
      </c>
      <c r="K53" s="6">
        <v>7.6959999999999997</v>
      </c>
      <c r="L53" s="22">
        <v>2</v>
      </c>
      <c r="M53" s="22" t="s">
        <v>451</v>
      </c>
      <c r="N53" s="14">
        <v>20.324999999999999</v>
      </c>
      <c r="O53" s="6" t="s">
        <v>771</v>
      </c>
      <c r="Q53" s="24"/>
      <c r="S53" s="24"/>
    </row>
    <row r="54" spans="1:19" s="6" customFormat="1" x14ac:dyDescent="0.25">
      <c r="A54" s="6" t="s">
        <v>797</v>
      </c>
      <c r="B54" s="6" t="s">
        <v>801</v>
      </c>
      <c r="C54" s="6">
        <v>1</v>
      </c>
      <c r="D54" s="6" t="s">
        <v>751</v>
      </c>
      <c r="E54" s="6">
        <v>18.100000000000001</v>
      </c>
      <c r="G54" s="6">
        <v>1</v>
      </c>
      <c r="H54" s="6">
        <v>1</v>
      </c>
      <c r="I54" s="6">
        <v>14.308999999999999</v>
      </c>
      <c r="J54" s="6">
        <v>90.304000000000002</v>
      </c>
      <c r="K54" s="6">
        <v>11.943</v>
      </c>
      <c r="L54" s="22">
        <v>0</v>
      </c>
      <c r="M54" s="22" t="s">
        <v>451</v>
      </c>
      <c r="N54" s="14" t="s">
        <v>452</v>
      </c>
      <c r="O54" s="6" t="s">
        <v>771</v>
      </c>
      <c r="Q54" s="24"/>
      <c r="S54" s="24"/>
    </row>
    <row r="55" spans="1:19" s="6" customFormat="1" x14ac:dyDescent="0.25">
      <c r="A55" s="6" t="s">
        <v>797</v>
      </c>
      <c r="B55" s="6" t="s">
        <v>801</v>
      </c>
      <c r="C55" s="6">
        <v>1</v>
      </c>
      <c r="D55" s="6" t="s">
        <v>751</v>
      </c>
      <c r="E55" s="6">
        <v>18.2</v>
      </c>
      <c r="G55" s="6">
        <v>1</v>
      </c>
      <c r="H55" s="6">
        <v>1</v>
      </c>
      <c r="I55" s="6">
        <v>11.85</v>
      </c>
      <c r="J55" s="6">
        <v>80.478999999999999</v>
      </c>
      <c r="K55" s="6">
        <v>10.366</v>
      </c>
      <c r="L55" s="22">
        <v>0</v>
      </c>
      <c r="M55" s="22" t="s">
        <v>451</v>
      </c>
      <c r="N55" s="14" t="s">
        <v>452</v>
      </c>
      <c r="O55" s="6" t="s">
        <v>771</v>
      </c>
      <c r="Q55" s="24"/>
      <c r="S55" s="24"/>
    </row>
    <row r="56" spans="1:19" s="6" customFormat="1" x14ac:dyDescent="0.25">
      <c r="A56" s="6" t="s">
        <v>797</v>
      </c>
      <c r="B56" s="6" t="s">
        <v>801</v>
      </c>
      <c r="C56" s="6">
        <v>1</v>
      </c>
      <c r="D56" s="6" t="s">
        <v>751</v>
      </c>
      <c r="E56" s="6">
        <v>18.3</v>
      </c>
      <c r="G56" s="6">
        <v>1</v>
      </c>
      <c r="H56" s="6">
        <v>1</v>
      </c>
      <c r="I56" s="6">
        <v>13.621</v>
      </c>
      <c r="J56" s="6">
        <v>82.097999999999999</v>
      </c>
      <c r="K56" s="6">
        <v>12.192</v>
      </c>
      <c r="L56" s="22">
        <v>0</v>
      </c>
      <c r="M56" s="22" t="s">
        <v>451</v>
      </c>
      <c r="N56" s="14" t="s">
        <v>452</v>
      </c>
      <c r="O56" s="6" t="s">
        <v>771</v>
      </c>
      <c r="Q56" s="24"/>
      <c r="S56" s="24"/>
    </row>
    <row r="57" spans="1:19" s="6" customFormat="1" x14ac:dyDescent="0.25">
      <c r="A57" s="6" t="s">
        <v>797</v>
      </c>
      <c r="B57" s="6" t="s">
        <v>801</v>
      </c>
      <c r="C57" s="6">
        <v>1</v>
      </c>
      <c r="D57" s="6" t="s">
        <v>751</v>
      </c>
      <c r="E57" s="6">
        <v>18.399999999999999</v>
      </c>
      <c r="G57" s="6">
        <v>1</v>
      </c>
      <c r="H57" s="6">
        <v>1</v>
      </c>
      <c r="I57" s="6">
        <v>14.855</v>
      </c>
      <c r="J57" s="6">
        <v>87.972999999999999</v>
      </c>
      <c r="K57" s="6">
        <v>11.654999999999999</v>
      </c>
      <c r="L57" s="22">
        <v>0</v>
      </c>
      <c r="M57" s="22" t="s">
        <v>451</v>
      </c>
      <c r="N57" s="14" t="s">
        <v>452</v>
      </c>
      <c r="O57" s="6" t="s">
        <v>771</v>
      </c>
      <c r="Q57" s="24"/>
      <c r="S57" s="24"/>
    </row>
    <row r="58" spans="1:19" s="6" customFormat="1" x14ac:dyDescent="0.25">
      <c r="A58" s="6" t="s">
        <v>797</v>
      </c>
      <c r="B58" s="6" t="s">
        <v>801</v>
      </c>
      <c r="C58" s="6">
        <v>1</v>
      </c>
      <c r="D58" s="6" t="s">
        <v>751</v>
      </c>
      <c r="E58" s="6">
        <v>18.5</v>
      </c>
      <c r="G58" s="6">
        <v>1</v>
      </c>
      <c r="H58" s="6">
        <v>1</v>
      </c>
      <c r="I58" s="6">
        <v>11.521000000000001</v>
      </c>
      <c r="J58" s="6">
        <v>75.744</v>
      </c>
      <c r="K58" s="6">
        <v>9.3729999999999993</v>
      </c>
      <c r="L58" s="22">
        <v>0</v>
      </c>
      <c r="M58" s="22" t="s">
        <v>451</v>
      </c>
      <c r="N58" s="14" t="s">
        <v>452</v>
      </c>
      <c r="O58" s="6" t="s">
        <v>771</v>
      </c>
      <c r="Q58" s="24"/>
      <c r="S58" s="24"/>
    </row>
    <row r="59" spans="1:19" s="6" customFormat="1" x14ac:dyDescent="0.25">
      <c r="A59" s="6" t="s">
        <v>797</v>
      </c>
      <c r="B59" s="6" t="s">
        <v>801</v>
      </c>
      <c r="C59" s="6">
        <v>1</v>
      </c>
      <c r="D59" s="6" t="s">
        <v>751</v>
      </c>
      <c r="E59" s="6">
        <v>18.600000000000001</v>
      </c>
      <c r="G59" s="6">
        <v>1</v>
      </c>
      <c r="H59" s="6">
        <v>1</v>
      </c>
      <c r="I59" s="6">
        <v>23.54</v>
      </c>
      <c r="J59" s="6">
        <v>88.915000000000006</v>
      </c>
      <c r="K59" s="6">
        <v>7.3579999999999997</v>
      </c>
      <c r="L59" s="22">
        <v>0</v>
      </c>
      <c r="M59" s="22" t="s">
        <v>451</v>
      </c>
      <c r="N59" s="14" t="s">
        <v>452</v>
      </c>
      <c r="O59" s="6" t="s">
        <v>771</v>
      </c>
      <c r="Q59" s="24"/>
      <c r="S59" s="24"/>
    </row>
    <row r="60" spans="1:19" s="6" customFormat="1" x14ac:dyDescent="0.25">
      <c r="A60" s="6" t="s">
        <v>797</v>
      </c>
      <c r="B60" s="6" t="s">
        <v>801</v>
      </c>
      <c r="C60" s="6">
        <v>1</v>
      </c>
      <c r="D60" s="6" t="s">
        <v>751</v>
      </c>
      <c r="E60" s="6">
        <v>19</v>
      </c>
      <c r="F60" s="6" t="s">
        <v>831</v>
      </c>
      <c r="G60" s="6">
        <v>3</v>
      </c>
      <c r="H60" s="6">
        <v>3</v>
      </c>
      <c r="I60" s="6">
        <f>59.305+12.183</f>
        <v>71.488</v>
      </c>
      <c r="J60" s="6">
        <v>30.702999999999999</v>
      </c>
      <c r="K60" s="6">
        <v>5.7850000000000001</v>
      </c>
      <c r="L60" s="22">
        <v>1</v>
      </c>
      <c r="M60" s="22" t="s">
        <v>451</v>
      </c>
      <c r="N60" s="14">
        <v>12.183</v>
      </c>
      <c r="O60" s="6" t="s">
        <v>771</v>
      </c>
      <c r="Q60" s="24"/>
      <c r="S60" s="24"/>
    </row>
    <row r="61" spans="1:19" s="6" customFormat="1" x14ac:dyDescent="0.25">
      <c r="A61" s="6" t="s">
        <v>797</v>
      </c>
      <c r="B61" s="6" t="s">
        <v>801</v>
      </c>
      <c r="C61" s="6">
        <v>1</v>
      </c>
      <c r="D61" s="6" t="s">
        <v>751</v>
      </c>
      <c r="E61" s="6">
        <v>20</v>
      </c>
      <c r="F61" s="6" t="s">
        <v>832</v>
      </c>
      <c r="G61" s="6">
        <v>2</v>
      </c>
      <c r="H61" s="6">
        <v>3</v>
      </c>
      <c r="I61" s="6">
        <f>106.556+12.524</f>
        <v>119.08</v>
      </c>
      <c r="J61" s="6">
        <v>26.099</v>
      </c>
      <c r="K61" s="6">
        <v>5.3659999999999997</v>
      </c>
      <c r="L61" s="22">
        <v>1</v>
      </c>
      <c r="M61" s="22" t="s">
        <v>454</v>
      </c>
      <c r="N61" s="14" t="s">
        <v>452</v>
      </c>
      <c r="O61" s="6" t="s">
        <v>771</v>
      </c>
      <c r="Q61" s="24"/>
      <c r="S61" s="24"/>
    </row>
    <row r="62" spans="1:19" s="6" customFormat="1" x14ac:dyDescent="0.25">
      <c r="A62" s="6" t="s">
        <v>797</v>
      </c>
      <c r="B62" s="6" t="s">
        <v>801</v>
      </c>
      <c r="C62" s="6">
        <v>1</v>
      </c>
      <c r="D62" s="6" t="s">
        <v>751</v>
      </c>
      <c r="E62" s="6">
        <v>22</v>
      </c>
      <c r="F62" s="6" t="s">
        <v>833</v>
      </c>
      <c r="G62" s="6">
        <v>3</v>
      </c>
      <c r="H62" s="6">
        <v>2</v>
      </c>
      <c r="I62" s="6">
        <v>35.106999999999999</v>
      </c>
      <c r="J62" s="6">
        <v>47.228000000000002</v>
      </c>
      <c r="K62" s="6">
        <v>8.0820000000000007</v>
      </c>
      <c r="L62" s="22">
        <v>1</v>
      </c>
      <c r="M62" s="22" t="s">
        <v>454</v>
      </c>
      <c r="N62" s="14">
        <v>0</v>
      </c>
      <c r="O62" s="6" t="s">
        <v>771</v>
      </c>
      <c r="Q62" s="24"/>
      <c r="S62" s="24"/>
    </row>
    <row r="63" spans="1:19" s="6" customFormat="1" x14ac:dyDescent="0.25">
      <c r="A63" s="6" t="s">
        <v>797</v>
      </c>
      <c r="B63" s="6" t="s">
        <v>801</v>
      </c>
      <c r="C63" s="6">
        <v>1</v>
      </c>
      <c r="D63" s="6" t="s">
        <v>751</v>
      </c>
      <c r="E63" s="6">
        <v>23</v>
      </c>
      <c r="F63" s="6" t="s">
        <v>834</v>
      </c>
      <c r="G63" s="6">
        <v>3</v>
      </c>
      <c r="H63" s="6">
        <v>4</v>
      </c>
      <c r="I63" s="6">
        <f>88.4+50.235</f>
        <v>138.63499999999999</v>
      </c>
      <c r="J63" s="6">
        <v>13.781000000000001</v>
      </c>
      <c r="K63" s="6">
        <v>3.6749999999999998</v>
      </c>
      <c r="L63" s="22">
        <v>2</v>
      </c>
      <c r="M63" s="22" t="s">
        <v>454</v>
      </c>
      <c r="N63" s="14">
        <v>0</v>
      </c>
      <c r="O63" s="6" t="s">
        <v>771</v>
      </c>
      <c r="Q63" s="24"/>
      <c r="S63" s="24"/>
    </row>
    <row r="64" spans="1:19" s="6" customFormat="1" x14ac:dyDescent="0.25">
      <c r="A64" s="6" t="s">
        <v>797</v>
      </c>
      <c r="B64" s="6" t="s">
        <v>801</v>
      </c>
      <c r="C64" s="6">
        <v>1</v>
      </c>
      <c r="D64" s="6" t="s">
        <v>751</v>
      </c>
      <c r="E64" s="6">
        <v>25</v>
      </c>
      <c r="F64" s="6" t="s">
        <v>835</v>
      </c>
      <c r="G64" s="6">
        <v>3</v>
      </c>
      <c r="H64" s="6">
        <v>3</v>
      </c>
      <c r="I64" s="6">
        <f>50.539+39.245</f>
        <v>89.783999999999992</v>
      </c>
      <c r="J64" s="6">
        <v>23.68</v>
      </c>
      <c r="K64" s="6">
        <v>5.81</v>
      </c>
      <c r="L64" s="22">
        <v>1</v>
      </c>
      <c r="M64" s="22" t="s">
        <v>451</v>
      </c>
      <c r="N64" s="14">
        <v>24.452999999999999</v>
      </c>
      <c r="O64" s="6" t="s">
        <v>771</v>
      </c>
      <c r="Q64" s="24"/>
      <c r="S64" s="24"/>
    </row>
    <row r="65" spans="1:19" s="6" customFormat="1" x14ac:dyDescent="0.25">
      <c r="A65" s="6" t="s">
        <v>797</v>
      </c>
      <c r="B65" s="6" t="s">
        <v>801</v>
      </c>
      <c r="C65" s="6">
        <v>1</v>
      </c>
      <c r="D65" s="6" t="s">
        <v>751</v>
      </c>
      <c r="E65" s="6">
        <v>26</v>
      </c>
      <c r="F65" s="6" t="s">
        <v>836</v>
      </c>
      <c r="G65" s="6">
        <v>3</v>
      </c>
      <c r="H65" s="6">
        <v>3</v>
      </c>
      <c r="I65" s="6">
        <v>67.881</v>
      </c>
      <c r="J65" s="6">
        <v>30.629000000000001</v>
      </c>
      <c r="K65" s="6">
        <v>4.7679999999999998</v>
      </c>
      <c r="L65" s="22">
        <v>1</v>
      </c>
      <c r="M65" s="22" t="s">
        <v>454</v>
      </c>
      <c r="N65" s="14">
        <v>0</v>
      </c>
      <c r="O65" s="6" t="s">
        <v>771</v>
      </c>
      <c r="Q65" s="24"/>
      <c r="S65" s="24"/>
    </row>
    <row r="66" spans="1:19" s="6" customFormat="1" x14ac:dyDescent="0.25">
      <c r="A66" s="6" t="s">
        <v>797</v>
      </c>
      <c r="B66" s="6" t="s">
        <v>801</v>
      </c>
      <c r="C66" s="6">
        <v>1</v>
      </c>
      <c r="D66" s="6" t="s">
        <v>751</v>
      </c>
      <c r="E66" s="6">
        <v>27</v>
      </c>
      <c r="F66" s="6" t="s">
        <v>837</v>
      </c>
      <c r="G66" s="6">
        <v>3</v>
      </c>
      <c r="H66" s="6">
        <v>3</v>
      </c>
      <c r="I66" s="6">
        <f>114.44+11.442</f>
        <v>125.88200000000001</v>
      </c>
      <c r="J66" s="6">
        <v>27.266999999999999</v>
      </c>
      <c r="K66" s="6">
        <v>5.0810000000000004</v>
      </c>
      <c r="L66" s="22">
        <v>1</v>
      </c>
      <c r="M66" s="22" t="s">
        <v>451</v>
      </c>
      <c r="N66" s="14">
        <v>6.8739999999999997</v>
      </c>
      <c r="O66" s="6" t="s">
        <v>771</v>
      </c>
      <c r="Q66" s="24"/>
      <c r="S66" s="24"/>
    </row>
    <row r="67" spans="1:19" s="6" customFormat="1" x14ac:dyDescent="0.25">
      <c r="A67" s="6" t="s">
        <v>797</v>
      </c>
      <c r="B67" s="6" t="s">
        <v>801</v>
      </c>
      <c r="C67" s="6">
        <v>1</v>
      </c>
      <c r="D67" s="6" t="s">
        <v>751</v>
      </c>
      <c r="E67" s="6">
        <v>28</v>
      </c>
      <c r="G67" s="6">
        <v>3</v>
      </c>
      <c r="H67" s="6">
        <v>3</v>
      </c>
      <c r="I67" s="6">
        <v>60.466999999999999</v>
      </c>
      <c r="J67" s="6">
        <v>27.696999999999999</v>
      </c>
      <c r="K67" s="6">
        <v>3.8620000000000001</v>
      </c>
      <c r="L67" s="22">
        <v>0</v>
      </c>
      <c r="M67" s="22" t="s">
        <v>451</v>
      </c>
      <c r="N67" s="14" t="s">
        <v>452</v>
      </c>
      <c r="O67" s="6" t="s">
        <v>771</v>
      </c>
      <c r="Q67" s="24"/>
      <c r="S67" s="24"/>
    </row>
    <row r="68" spans="1:19" s="6" customFormat="1" x14ac:dyDescent="0.25">
      <c r="A68" s="6" t="s">
        <v>797</v>
      </c>
      <c r="B68" s="6" t="s">
        <v>801</v>
      </c>
      <c r="C68" s="6">
        <v>1</v>
      </c>
      <c r="D68" s="6" t="s">
        <v>751</v>
      </c>
      <c r="E68" s="6">
        <v>31</v>
      </c>
      <c r="F68" s="6" t="s">
        <v>838</v>
      </c>
      <c r="G68" s="6">
        <v>3</v>
      </c>
      <c r="H68" s="6">
        <v>4</v>
      </c>
      <c r="I68" s="6">
        <f>98.473+11.103</f>
        <v>109.57599999999999</v>
      </c>
      <c r="J68" s="6">
        <v>23.658000000000001</v>
      </c>
      <c r="K68" s="6">
        <v>3.6749999999999998</v>
      </c>
      <c r="L68" s="22">
        <v>1</v>
      </c>
      <c r="M68" s="22" t="s">
        <v>451</v>
      </c>
      <c r="N68" s="14">
        <v>44.673000000000002</v>
      </c>
      <c r="O68" s="6" t="s">
        <v>771</v>
      </c>
      <c r="Q68" s="24"/>
      <c r="S68" s="24"/>
    </row>
    <row r="69" spans="1:19" s="6" customFormat="1" x14ac:dyDescent="0.25">
      <c r="A69" s="6" t="s">
        <v>797</v>
      </c>
      <c r="B69" s="6" t="s">
        <v>801</v>
      </c>
      <c r="C69" s="6">
        <v>1</v>
      </c>
      <c r="D69" s="6" t="s">
        <v>751</v>
      </c>
      <c r="E69" s="6">
        <v>32</v>
      </c>
      <c r="F69" s="6" t="s">
        <v>839</v>
      </c>
      <c r="G69" s="6">
        <v>3</v>
      </c>
      <c r="H69" s="6">
        <v>2</v>
      </c>
      <c r="I69" s="6">
        <v>59.076000000000001</v>
      </c>
      <c r="J69" s="6">
        <v>81.587999999999994</v>
      </c>
      <c r="K69" s="6">
        <v>7.6669999999999998</v>
      </c>
      <c r="L69" s="22">
        <v>0</v>
      </c>
      <c r="M69" s="22" t="s">
        <v>451</v>
      </c>
      <c r="N69" s="14" t="s">
        <v>452</v>
      </c>
      <c r="O69" s="6" t="s">
        <v>771</v>
      </c>
      <c r="Q69" s="24"/>
      <c r="S69" s="24"/>
    </row>
    <row r="70" spans="1:19" s="6" customFormat="1" x14ac:dyDescent="0.25">
      <c r="A70" s="6" t="s">
        <v>797</v>
      </c>
      <c r="B70" s="6" t="s">
        <v>801</v>
      </c>
      <c r="C70" s="6">
        <v>1</v>
      </c>
      <c r="D70" s="6" t="s">
        <v>751</v>
      </c>
      <c r="E70" s="6">
        <v>33</v>
      </c>
      <c r="F70" s="6" t="s">
        <v>840</v>
      </c>
      <c r="G70" s="6">
        <v>3</v>
      </c>
      <c r="H70" s="6">
        <v>3</v>
      </c>
      <c r="I70" s="6">
        <v>131.01300000000001</v>
      </c>
      <c r="J70" s="6">
        <v>46.290999999999997</v>
      </c>
      <c r="K70" s="6">
        <v>7.9530000000000003</v>
      </c>
      <c r="L70" s="22">
        <v>1</v>
      </c>
      <c r="M70" s="22" t="s">
        <v>451</v>
      </c>
      <c r="N70" s="14">
        <v>41.268999999999998</v>
      </c>
      <c r="O70" s="6" t="s">
        <v>771</v>
      </c>
      <c r="Q70" s="24"/>
      <c r="S70" s="24"/>
    </row>
    <row r="71" spans="1:19" s="6" customFormat="1" x14ac:dyDescent="0.25">
      <c r="A71" s="6" t="s">
        <v>797</v>
      </c>
      <c r="B71" s="6" t="s">
        <v>801</v>
      </c>
      <c r="C71" s="6">
        <v>1</v>
      </c>
      <c r="D71" s="6" t="s">
        <v>751</v>
      </c>
      <c r="E71" s="6">
        <v>34</v>
      </c>
      <c r="F71" s="6" t="s">
        <v>841</v>
      </c>
      <c r="G71" s="6">
        <v>3</v>
      </c>
      <c r="H71" s="6">
        <v>3</v>
      </c>
      <c r="I71" s="6">
        <f>100.343+33.751+19.937</f>
        <v>154.03100000000001</v>
      </c>
      <c r="J71" s="6">
        <v>46.302999999999997</v>
      </c>
      <c r="K71" s="6">
        <v>7.0460000000000003</v>
      </c>
      <c r="L71" s="22">
        <v>3</v>
      </c>
      <c r="M71" s="22" t="s">
        <v>454</v>
      </c>
      <c r="N71" s="14">
        <v>0</v>
      </c>
      <c r="O71" s="6" t="s">
        <v>771</v>
      </c>
      <c r="Q71" s="24"/>
      <c r="S71" s="24"/>
    </row>
    <row r="72" spans="1:19" s="6" customFormat="1" x14ac:dyDescent="0.25">
      <c r="A72" s="6" t="s">
        <v>797</v>
      </c>
      <c r="B72" s="6" t="s">
        <v>801</v>
      </c>
      <c r="C72" s="6">
        <v>1</v>
      </c>
      <c r="D72" s="6" t="s">
        <v>751</v>
      </c>
      <c r="E72" s="6">
        <v>35</v>
      </c>
      <c r="F72" s="6" t="s">
        <v>842</v>
      </c>
      <c r="G72" s="6">
        <v>3</v>
      </c>
      <c r="H72" s="6">
        <v>3</v>
      </c>
      <c r="I72" s="6">
        <v>108.125</v>
      </c>
      <c r="J72" s="6">
        <v>31.053000000000001</v>
      </c>
      <c r="K72" s="6">
        <v>4.1859999999999999</v>
      </c>
      <c r="L72" s="22">
        <v>0</v>
      </c>
      <c r="M72" s="22" t="s">
        <v>451</v>
      </c>
      <c r="N72" s="14" t="s">
        <v>452</v>
      </c>
      <c r="O72" s="6" t="s">
        <v>771</v>
      </c>
      <c r="Q72" s="24"/>
      <c r="S72" s="24"/>
    </row>
    <row r="73" spans="1:19" s="6" customFormat="1" x14ac:dyDescent="0.25">
      <c r="A73" s="6" t="s">
        <v>797</v>
      </c>
      <c r="B73" s="6" t="s">
        <v>801</v>
      </c>
      <c r="C73" s="6">
        <v>1</v>
      </c>
      <c r="D73" s="6" t="s">
        <v>751</v>
      </c>
      <c r="E73" s="6">
        <v>36</v>
      </c>
      <c r="F73" s="6" t="s">
        <v>843</v>
      </c>
      <c r="G73" s="6">
        <v>3</v>
      </c>
      <c r="H73" s="6">
        <v>3</v>
      </c>
      <c r="I73" s="6">
        <v>50.735999999999997</v>
      </c>
      <c r="J73" s="6">
        <v>24.814</v>
      </c>
      <c r="K73" s="6">
        <v>2.9049999999999998</v>
      </c>
      <c r="L73" s="22">
        <v>0</v>
      </c>
      <c r="M73" s="22" t="s">
        <v>451</v>
      </c>
      <c r="N73" s="14" t="s">
        <v>452</v>
      </c>
      <c r="O73" s="6" t="s">
        <v>771</v>
      </c>
      <c r="Q73" s="24"/>
      <c r="S73" s="24"/>
    </row>
    <row r="74" spans="1:19" s="6" customFormat="1" x14ac:dyDescent="0.25">
      <c r="A74" s="6" t="s">
        <v>797</v>
      </c>
      <c r="B74" s="6" t="s">
        <v>801</v>
      </c>
      <c r="C74" s="6">
        <v>1</v>
      </c>
      <c r="D74" s="6" t="s">
        <v>751</v>
      </c>
      <c r="E74" s="6">
        <v>37</v>
      </c>
      <c r="F74" s="6" t="s">
        <v>844</v>
      </c>
      <c r="G74" s="6">
        <v>3</v>
      </c>
      <c r="H74" s="6">
        <v>3</v>
      </c>
      <c r="I74" s="6">
        <v>48.889000000000003</v>
      </c>
      <c r="J74" s="6">
        <v>42.24</v>
      </c>
      <c r="K74" s="6">
        <v>5.1159999999999997</v>
      </c>
      <c r="L74" s="22">
        <v>0</v>
      </c>
      <c r="M74" s="22" t="s">
        <v>451</v>
      </c>
      <c r="N74" s="14" t="s">
        <v>452</v>
      </c>
      <c r="O74" s="6" t="s">
        <v>771</v>
      </c>
      <c r="Q74" s="24"/>
      <c r="S74" s="24"/>
    </row>
    <row r="75" spans="1:19" s="6" customFormat="1" x14ac:dyDescent="0.25">
      <c r="A75" s="6" t="s">
        <v>797</v>
      </c>
      <c r="B75" s="6" t="s">
        <v>801</v>
      </c>
      <c r="C75" s="6">
        <v>1</v>
      </c>
      <c r="D75" s="6" t="s">
        <v>751</v>
      </c>
      <c r="E75" s="6">
        <v>39</v>
      </c>
      <c r="F75" s="6" t="s">
        <v>845</v>
      </c>
      <c r="G75" s="6">
        <v>3</v>
      </c>
      <c r="H75" s="6">
        <v>3</v>
      </c>
      <c r="I75" s="6">
        <v>70.849000000000004</v>
      </c>
      <c r="J75" s="6">
        <v>32.018999999999998</v>
      </c>
      <c r="K75" s="6">
        <v>3.9239999999999999</v>
      </c>
      <c r="L75" s="22">
        <v>0</v>
      </c>
      <c r="M75" s="22" t="s">
        <v>451</v>
      </c>
      <c r="N75" s="14" t="s">
        <v>452</v>
      </c>
      <c r="O75" s="6" t="s">
        <v>771</v>
      </c>
      <c r="Q75" s="24"/>
      <c r="S75" s="24"/>
    </row>
    <row r="76" spans="1:19" s="6" customFormat="1" x14ac:dyDescent="0.25">
      <c r="A76" s="6" t="s">
        <v>797</v>
      </c>
      <c r="B76" s="6" t="s">
        <v>801</v>
      </c>
      <c r="C76" s="6">
        <v>1</v>
      </c>
      <c r="D76" s="6" t="s">
        <v>751</v>
      </c>
      <c r="E76" s="6">
        <v>40</v>
      </c>
      <c r="F76" s="6" t="s">
        <v>846</v>
      </c>
      <c r="G76" s="6">
        <v>3</v>
      </c>
      <c r="H76" s="6">
        <v>2</v>
      </c>
      <c r="I76" s="6">
        <v>40.747</v>
      </c>
      <c r="J76" s="6">
        <v>40.856000000000002</v>
      </c>
      <c r="K76" s="6">
        <v>3.35</v>
      </c>
      <c r="L76" s="22">
        <v>0</v>
      </c>
      <c r="M76" s="22" t="s">
        <v>451</v>
      </c>
      <c r="N76" s="14" t="s">
        <v>452</v>
      </c>
      <c r="O76" s="6" t="s">
        <v>771</v>
      </c>
      <c r="Q76" s="24"/>
      <c r="S76" s="24"/>
    </row>
    <row r="77" spans="1:19" s="6" customFormat="1" x14ac:dyDescent="0.25">
      <c r="A77" s="6" t="s">
        <v>798</v>
      </c>
      <c r="B77" s="6" t="s">
        <v>163</v>
      </c>
      <c r="C77" s="6" t="s">
        <v>802</v>
      </c>
      <c r="D77" s="6" t="s">
        <v>749</v>
      </c>
      <c r="E77" s="6">
        <v>1</v>
      </c>
      <c r="F77" s="6" t="s">
        <v>847</v>
      </c>
      <c r="G77" s="6">
        <v>3</v>
      </c>
      <c r="H77" s="6">
        <v>4</v>
      </c>
      <c r="I77" s="6">
        <v>98.281000000000006</v>
      </c>
      <c r="J77" s="6">
        <v>16.728999999999999</v>
      </c>
      <c r="K77" s="6">
        <v>2.7109999999999999</v>
      </c>
      <c r="L77" s="22">
        <v>0</v>
      </c>
      <c r="M77" s="22" t="s">
        <v>451</v>
      </c>
      <c r="N77" s="14" t="s">
        <v>452</v>
      </c>
      <c r="O77" s="6" t="s">
        <v>771</v>
      </c>
      <c r="Q77" s="24"/>
      <c r="S77" s="24"/>
    </row>
    <row r="78" spans="1:19" s="6" customFormat="1" x14ac:dyDescent="0.25">
      <c r="A78" s="6" t="s">
        <v>798</v>
      </c>
      <c r="B78" s="6" t="s">
        <v>163</v>
      </c>
      <c r="C78" s="6" t="s">
        <v>802</v>
      </c>
      <c r="D78" s="6" t="s">
        <v>749</v>
      </c>
      <c r="E78" s="6">
        <v>2</v>
      </c>
      <c r="F78" s="6" t="s">
        <v>848</v>
      </c>
      <c r="G78" s="6">
        <v>3</v>
      </c>
      <c r="H78" s="6">
        <v>3</v>
      </c>
      <c r="I78" s="6">
        <v>59.203000000000003</v>
      </c>
      <c r="J78" s="6">
        <v>31.463000000000001</v>
      </c>
      <c r="K78" s="6">
        <v>3.714</v>
      </c>
      <c r="L78" s="22">
        <v>1</v>
      </c>
      <c r="M78" s="22" t="s">
        <v>454</v>
      </c>
      <c r="N78" s="14">
        <v>0</v>
      </c>
      <c r="O78" s="6" t="s">
        <v>771</v>
      </c>
      <c r="Q78" s="24"/>
      <c r="S78" s="24"/>
    </row>
    <row r="79" spans="1:19" s="6" customFormat="1" x14ac:dyDescent="0.25">
      <c r="A79" s="6" t="s">
        <v>798</v>
      </c>
      <c r="B79" s="6" t="s">
        <v>163</v>
      </c>
      <c r="C79" s="6" t="s">
        <v>802</v>
      </c>
      <c r="D79" s="6" t="s">
        <v>749</v>
      </c>
      <c r="E79" s="6">
        <v>3</v>
      </c>
      <c r="F79" s="6" t="s">
        <v>849</v>
      </c>
      <c r="G79" s="6">
        <v>3</v>
      </c>
      <c r="H79" s="6">
        <v>4</v>
      </c>
      <c r="I79" s="6">
        <v>85.6</v>
      </c>
      <c r="J79" s="6">
        <v>17.045000000000002</v>
      </c>
      <c r="K79" s="6">
        <v>2.6829999999999998</v>
      </c>
      <c r="L79" s="22">
        <v>0</v>
      </c>
      <c r="M79" s="22" t="s">
        <v>451</v>
      </c>
      <c r="N79" s="14" t="s">
        <v>452</v>
      </c>
      <c r="O79" s="6" t="s">
        <v>771</v>
      </c>
      <c r="Q79" s="24"/>
      <c r="S79" s="24"/>
    </row>
    <row r="80" spans="1:19" s="6" customFormat="1" x14ac:dyDescent="0.25">
      <c r="A80" s="6" t="s">
        <v>798</v>
      </c>
      <c r="B80" s="6" t="s">
        <v>163</v>
      </c>
      <c r="C80" s="6" t="s">
        <v>802</v>
      </c>
      <c r="D80" s="6" t="s">
        <v>749</v>
      </c>
      <c r="E80" s="6">
        <v>4</v>
      </c>
      <c r="F80" s="6" t="s">
        <v>850</v>
      </c>
      <c r="G80" s="6">
        <v>3</v>
      </c>
      <c r="H80" s="6">
        <v>3</v>
      </c>
      <c r="I80" s="6">
        <v>94.013999999999996</v>
      </c>
      <c r="J80" s="6">
        <v>38.084000000000003</v>
      </c>
      <c r="K80" s="6">
        <v>7.101</v>
      </c>
      <c r="L80" s="22">
        <v>1</v>
      </c>
      <c r="M80" s="22" t="s">
        <v>454</v>
      </c>
      <c r="N80" s="14">
        <v>0</v>
      </c>
      <c r="O80" s="6" t="s">
        <v>771</v>
      </c>
      <c r="Q80" s="24"/>
      <c r="S80" s="24"/>
    </row>
    <row r="81" spans="1:19" s="6" customFormat="1" x14ac:dyDescent="0.25">
      <c r="A81" s="6" t="s">
        <v>798</v>
      </c>
      <c r="B81" s="6" t="s">
        <v>163</v>
      </c>
      <c r="C81" s="6" t="s">
        <v>802</v>
      </c>
      <c r="D81" s="6" t="s">
        <v>749</v>
      </c>
      <c r="E81" s="6">
        <v>5</v>
      </c>
      <c r="F81" s="6" t="s">
        <v>851</v>
      </c>
      <c r="G81" s="6">
        <v>3</v>
      </c>
      <c r="H81" s="6">
        <v>2</v>
      </c>
      <c r="I81" s="6">
        <f>65.65+11.084</f>
        <v>76.734000000000009</v>
      </c>
      <c r="J81" s="6">
        <v>38.613</v>
      </c>
      <c r="K81" s="6">
        <v>8.0389999999999997</v>
      </c>
      <c r="L81" s="22">
        <v>1</v>
      </c>
      <c r="M81" s="22" t="s">
        <v>451</v>
      </c>
      <c r="N81" s="14">
        <v>20.786999999999999</v>
      </c>
      <c r="O81" s="6" t="s">
        <v>771</v>
      </c>
      <c r="Q81" s="24"/>
      <c r="S81" s="24"/>
    </row>
    <row r="82" spans="1:19" s="6" customFormat="1" x14ac:dyDescent="0.25">
      <c r="A82" s="6" t="s">
        <v>798</v>
      </c>
      <c r="B82" s="6" t="s">
        <v>163</v>
      </c>
      <c r="C82" s="6" t="s">
        <v>802</v>
      </c>
      <c r="D82" s="6" t="s">
        <v>749</v>
      </c>
      <c r="E82" s="6">
        <v>6</v>
      </c>
      <c r="F82" s="6" t="s">
        <v>852</v>
      </c>
      <c r="G82" s="6">
        <v>3</v>
      </c>
      <c r="H82" s="6">
        <v>3</v>
      </c>
      <c r="I82" s="6">
        <f>54.789+15.941</f>
        <v>70.73</v>
      </c>
      <c r="J82" s="6">
        <v>36.262999999999998</v>
      </c>
      <c r="K82" s="25">
        <v>4.9349999999999996</v>
      </c>
      <c r="L82" s="22">
        <v>1</v>
      </c>
      <c r="M82" s="22" t="s">
        <v>454</v>
      </c>
      <c r="N82" s="14">
        <v>0</v>
      </c>
      <c r="O82" s="6" t="s">
        <v>771</v>
      </c>
      <c r="Q82" s="24"/>
      <c r="S82" s="24"/>
    </row>
    <row r="83" spans="1:19" s="6" customFormat="1" x14ac:dyDescent="0.25">
      <c r="A83" s="6" t="s">
        <v>798</v>
      </c>
      <c r="B83" s="6" t="s">
        <v>163</v>
      </c>
      <c r="C83" s="6" t="s">
        <v>802</v>
      </c>
      <c r="D83" s="6" t="s">
        <v>749</v>
      </c>
      <c r="E83" s="6">
        <v>7</v>
      </c>
      <c r="F83" s="6" t="s">
        <v>853</v>
      </c>
      <c r="G83" s="6">
        <v>2</v>
      </c>
      <c r="H83" s="6">
        <v>2</v>
      </c>
      <c r="I83" s="6">
        <f>32.728+37.217</f>
        <v>69.944999999999993</v>
      </c>
      <c r="J83" s="6">
        <v>66.027000000000001</v>
      </c>
      <c r="K83" s="25">
        <v>8.2360000000000007</v>
      </c>
      <c r="L83" s="22">
        <v>1</v>
      </c>
      <c r="M83" s="22" t="s">
        <v>454</v>
      </c>
      <c r="N83" s="14">
        <v>0</v>
      </c>
      <c r="O83" s="6" t="s">
        <v>771</v>
      </c>
      <c r="Q83" s="24"/>
      <c r="S83" s="24"/>
    </row>
    <row r="84" spans="1:19" s="6" customFormat="1" x14ac:dyDescent="0.25">
      <c r="A84" s="6" t="s">
        <v>798</v>
      </c>
      <c r="B84" s="6" t="s">
        <v>163</v>
      </c>
      <c r="C84" s="6" t="s">
        <v>802</v>
      </c>
      <c r="D84" s="6" t="s">
        <v>749</v>
      </c>
      <c r="E84" s="6">
        <v>8</v>
      </c>
      <c r="F84" s="6" t="s">
        <v>854</v>
      </c>
      <c r="G84" s="6">
        <v>3</v>
      </c>
      <c r="H84" s="6">
        <v>3</v>
      </c>
      <c r="I84" s="6">
        <v>71.498999999999995</v>
      </c>
      <c r="J84" s="6">
        <v>26.393000000000001</v>
      </c>
      <c r="K84" s="25">
        <v>3.577</v>
      </c>
      <c r="L84" s="22">
        <v>1</v>
      </c>
      <c r="M84" s="22" t="s">
        <v>451</v>
      </c>
      <c r="N84" s="14">
        <v>11.068</v>
      </c>
      <c r="O84" s="6" t="s">
        <v>771</v>
      </c>
      <c r="Q84" s="24"/>
      <c r="S84" s="24"/>
    </row>
    <row r="85" spans="1:19" s="6" customFormat="1" x14ac:dyDescent="0.25">
      <c r="A85" s="6" t="s">
        <v>798</v>
      </c>
      <c r="B85" s="6" t="s">
        <v>163</v>
      </c>
      <c r="C85" s="6" t="s">
        <v>802</v>
      </c>
      <c r="D85" s="6" t="s">
        <v>749</v>
      </c>
      <c r="E85" s="6">
        <v>9</v>
      </c>
      <c r="F85" s="6" t="s">
        <v>855</v>
      </c>
      <c r="G85" s="6">
        <v>3</v>
      </c>
      <c r="H85" s="6">
        <v>4</v>
      </c>
      <c r="I85" s="6">
        <v>69.295000000000002</v>
      </c>
      <c r="J85" s="6">
        <v>33.624000000000002</v>
      </c>
      <c r="K85" s="25">
        <v>5.2329999999999997</v>
      </c>
      <c r="L85" s="22">
        <v>0</v>
      </c>
      <c r="M85" s="22" t="s">
        <v>451</v>
      </c>
      <c r="N85" s="14" t="s">
        <v>452</v>
      </c>
      <c r="O85" s="6" t="s">
        <v>771</v>
      </c>
      <c r="Q85" s="24"/>
      <c r="S85" s="24"/>
    </row>
    <row r="86" spans="1:19" s="6" customFormat="1" x14ac:dyDescent="0.25">
      <c r="A86" s="6" t="s">
        <v>798</v>
      </c>
      <c r="B86" s="6" t="s">
        <v>163</v>
      </c>
      <c r="C86" s="6" t="s">
        <v>802</v>
      </c>
      <c r="D86" s="6" t="s">
        <v>749</v>
      </c>
      <c r="E86" s="6">
        <v>10</v>
      </c>
      <c r="F86" s="6" t="s">
        <v>856</v>
      </c>
      <c r="G86" s="6">
        <v>3</v>
      </c>
      <c r="H86" s="6">
        <v>3</v>
      </c>
      <c r="I86" s="6">
        <v>95.917000000000002</v>
      </c>
      <c r="J86" s="6">
        <v>33.228999999999999</v>
      </c>
      <c r="K86" s="25">
        <v>5.1879999999999997</v>
      </c>
      <c r="L86" s="22">
        <v>1</v>
      </c>
      <c r="M86" s="22" t="s">
        <v>454</v>
      </c>
      <c r="N86" s="14">
        <v>0</v>
      </c>
      <c r="O86" s="6" t="s">
        <v>771</v>
      </c>
      <c r="Q86" s="24"/>
      <c r="S86" s="24"/>
    </row>
    <row r="87" spans="1:19" s="6" customFormat="1" x14ac:dyDescent="0.25">
      <c r="A87" s="6" t="s">
        <v>798</v>
      </c>
      <c r="B87" s="6" t="s">
        <v>163</v>
      </c>
      <c r="C87" s="6" t="s">
        <v>802</v>
      </c>
      <c r="D87" s="6" t="s">
        <v>749</v>
      </c>
      <c r="E87" s="6">
        <v>11</v>
      </c>
      <c r="F87" s="6" t="s">
        <v>857</v>
      </c>
      <c r="G87" s="6">
        <v>3</v>
      </c>
      <c r="H87" s="6">
        <v>2</v>
      </c>
      <c r="I87" s="6">
        <v>91.638999999999996</v>
      </c>
      <c r="J87" s="6">
        <v>51.015999999999998</v>
      </c>
      <c r="K87" s="25">
        <v>7.375</v>
      </c>
      <c r="L87" s="22">
        <v>0</v>
      </c>
      <c r="M87" s="22" t="s">
        <v>451</v>
      </c>
      <c r="N87" s="14" t="s">
        <v>452</v>
      </c>
      <c r="O87" s="6" t="s">
        <v>771</v>
      </c>
      <c r="Q87" s="24"/>
      <c r="S87" s="24"/>
    </row>
    <row r="88" spans="1:19" s="6" customFormat="1" x14ac:dyDescent="0.25">
      <c r="A88" s="6" t="s">
        <v>798</v>
      </c>
      <c r="B88" s="6" t="s">
        <v>163</v>
      </c>
      <c r="C88" s="6" t="s">
        <v>802</v>
      </c>
      <c r="D88" s="6" t="s">
        <v>749</v>
      </c>
      <c r="E88" s="6">
        <v>12</v>
      </c>
      <c r="F88" s="6" t="s">
        <v>858</v>
      </c>
      <c r="G88" s="6">
        <v>3</v>
      </c>
      <c r="H88" s="6">
        <v>3</v>
      </c>
      <c r="I88" s="6">
        <f>50.886+17.456</f>
        <v>68.341999999999999</v>
      </c>
      <c r="J88" s="6">
        <v>32.037999999999997</v>
      </c>
      <c r="K88" s="25">
        <v>5.9420000000000002</v>
      </c>
      <c r="L88" s="22">
        <v>1</v>
      </c>
      <c r="M88" s="22" t="s">
        <v>451</v>
      </c>
      <c r="N88" s="14">
        <v>15.491</v>
      </c>
      <c r="O88" s="6" t="s">
        <v>771</v>
      </c>
      <c r="Q88" s="24"/>
      <c r="S88" s="24"/>
    </row>
    <row r="89" spans="1:19" s="6" customFormat="1" x14ac:dyDescent="0.25">
      <c r="A89" s="6" t="s">
        <v>798</v>
      </c>
      <c r="B89" s="6" t="s">
        <v>163</v>
      </c>
      <c r="C89" s="6" t="s">
        <v>802</v>
      </c>
      <c r="D89" s="6" t="s">
        <v>749</v>
      </c>
      <c r="E89" s="6">
        <v>13</v>
      </c>
      <c r="F89" s="6" t="s">
        <v>859</v>
      </c>
      <c r="G89" s="6">
        <v>3</v>
      </c>
      <c r="H89" s="6">
        <v>3</v>
      </c>
      <c r="I89" s="6">
        <f>38.804+20.201</f>
        <v>59.005000000000003</v>
      </c>
      <c r="J89" s="6">
        <v>40.277000000000001</v>
      </c>
      <c r="K89" s="25">
        <v>5.734</v>
      </c>
      <c r="L89" s="22">
        <v>1</v>
      </c>
      <c r="M89" s="22" t="s">
        <v>454</v>
      </c>
      <c r="N89" s="14">
        <v>0</v>
      </c>
      <c r="O89" s="6" t="s">
        <v>771</v>
      </c>
      <c r="Q89" s="24"/>
      <c r="S89" s="24"/>
    </row>
    <row r="90" spans="1:19" s="6" customFormat="1" x14ac:dyDescent="0.25">
      <c r="A90" s="6" t="s">
        <v>798</v>
      </c>
      <c r="B90" s="6" t="s">
        <v>163</v>
      </c>
      <c r="C90" s="6" t="s">
        <v>802</v>
      </c>
      <c r="D90" s="6" t="s">
        <v>749</v>
      </c>
      <c r="E90" s="6">
        <v>14</v>
      </c>
      <c r="G90" s="6">
        <v>3</v>
      </c>
      <c r="H90" s="6">
        <v>3</v>
      </c>
      <c r="I90" s="6">
        <v>96.313000000000002</v>
      </c>
      <c r="J90" s="6">
        <v>34.613999999999997</v>
      </c>
      <c r="K90" s="25">
        <v>7.2750000000000004</v>
      </c>
      <c r="L90" s="22">
        <v>1</v>
      </c>
      <c r="M90" s="22" t="s">
        <v>451</v>
      </c>
      <c r="N90" s="14">
        <v>39.055</v>
      </c>
      <c r="O90" s="6" t="s">
        <v>771</v>
      </c>
      <c r="Q90" s="24"/>
      <c r="S90" s="24"/>
    </row>
    <row r="91" spans="1:19" s="6" customFormat="1" x14ac:dyDescent="0.25">
      <c r="A91" s="6" t="s">
        <v>798</v>
      </c>
      <c r="B91" s="6" t="s">
        <v>163</v>
      </c>
      <c r="C91" s="6" t="s">
        <v>802</v>
      </c>
      <c r="D91" s="6" t="s">
        <v>749</v>
      </c>
      <c r="E91" s="6">
        <v>17</v>
      </c>
      <c r="F91" s="6" t="s">
        <v>860</v>
      </c>
      <c r="G91" s="6">
        <v>3</v>
      </c>
      <c r="H91" s="6">
        <v>3</v>
      </c>
      <c r="I91" s="6">
        <v>76.311000000000007</v>
      </c>
      <c r="J91" s="6">
        <v>49.9</v>
      </c>
      <c r="K91" s="25">
        <v>4.5570000000000004</v>
      </c>
      <c r="L91" s="22">
        <v>0</v>
      </c>
      <c r="M91" s="22" t="s">
        <v>451</v>
      </c>
      <c r="N91" s="14" t="s">
        <v>452</v>
      </c>
      <c r="O91" s="6" t="s">
        <v>771</v>
      </c>
      <c r="Q91" s="24"/>
      <c r="S91" s="24"/>
    </row>
    <row r="92" spans="1:19" s="6" customFormat="1" x14ac:dyDescent="0.25">
      <c r="A92" s="6" t="s">
        <v>798</v>
      </c>
      <c r="B92" s="6" t="s">
        <v>163</v>
      </c>
      <c r="C92" s="6" t="s">
        <v>802</v>
      </c>
      <c r="D92" s="6" t="s">
        <v>749</v>
      </c>
      <c r="E92" s="6">
        <v>18</v>
      </c>
      <c r="F92" s="6" t="s">
        <v>861</v>
      </c>
      <c r="G92" s="6">
        <v>2</v>
      </c>
      <c r="H92" s="6">
        <v>2</v>
      </c>
      <c r="I92" s="6">
        <v>49.363</v>
      </c>
      <c r="J92" s="6">
        <v>50.274999999999999</v>
      </c>
      <c r="K92" s="25">
        <v>7.8849999999999998</v>
      </c>
      <c r="L92" s="22">
        <v>1</v>
      </c>
      <c r="M92" s="22" t="s">
        <v>454</v>
      </c>
      <c r="N92" s="14">
        <v>0</v>
      </c>
      <c r="O92" s="6" t="s">
        <v>771</v>
      </c>
      <c r="Q92" s="24"/>
      <c r="S92" s="24"/>
    </row>
    <row r="93" spans="1:19" s="6" customFormat="1" x14ac:dyDescent="0.25">
      <c r="A93" s="6" t="s">
        <v>798</v>
      </c>
      <c r="B93" s="6" t="s">
        <v>163</v>
      </c>
      <c r="C93" s="6" t="s">
        <v>802</v>
      </c>
      <c r="D93" s="6" t="s">
        <v>749</v>
      </c>
      <c r="E93" s="6">
        <v>19</v>
      </c>
      <c r="F93" s="6" t="s">
        <v>862</v>
      </c>
      <c r="G93" s="6">
        <v>2</v>
      </c>
      <c r="H93" s="6">
        <v>2</v>
      </c>
      <c r="I93" s="6">
        <v>52.981000000000002</v>
      </c>
      <c r="J93" s="6">
        <v>36.991999999999997</v>
      </c>
      <c r="K93" s="25">
        <v>5.8369999999999997</v>
      </c>
      <c r="L93" s="22">
        <v>0</v>
      </c>
      <c r="M93" s="22" t="s">
        <v>451</v>
      </c>
      <c r="N93" s="14" t="s">
        <v>452</v>
      </c>
      <c r="O93" s="6" t="s">
        <v>771</v>
      </c>
      <c r="Q93" s="24"/>
      <c r="S93" s="24"/>
    </row>
    <row r="94" spans="1:19" s="6" customFormat="1" x14ac:dyDescent="0.25">
      <c r="A94" s="6" t="s">
        <v>798</v>
      </c>
      <c r="B94" s="6" t="s">
        <v>163</v>
      </c>
      <c r="C94" s="6" t="s">
        <v>802</v>
      </c>
      <c r="D94" s="6" t="s">
        <v>749</v>
      </c>
      <c r="E94" s="6">
        <v>21</v>
      </c>
      <c r="F94" s="6" t="s">
        <v>863</v>
      </c>
      <c r="G94" s="6">
        <v>2</v>
      </c>
      <c r="H94" s="6">
        <v>2</v>
      </c>
      <c r="I94" s="6">
        <f>38.835+18.771+16.462</f>
        <v>74.067999999999998</v>
      </c>
      <c r="J94" s="6">
        <v>56.241</v>
      </c>
      <c r="K94" s="25">
        <v>7.8029999999999999</v>
      </c>
      <c r="L94" s="22">
        <v>2</v>
      </c>
      <c r="M94" s="22" t="s">
        <v>451</v>
      </c>
      <c r="N94" s="14">
        <v>9.0690000000000008</v>
      </c>
      <c r="O94" s="6" t="s">
        <v>771</v>
      </c>
      <c r="Q94" s="24"/>
      <c r="S94" s="24"/>
    </row>
    <row r="95" spans="1:19" s="6" customFormat="1" x14ac:dyDescent="0.25">
      <c r="A95" s="6" t="s">
        <v>798</v>
      </c>
      <c r="B95" s="6" t="s">
        <v>163</v>
      </c>
      <c r="C95" s="6" t="s">
        <v>802</v>
      </c>
      <c r="D95" s="6" t="s">
        <v>749</v>
      </c>
      <c r="E95" s="6">
        <v>22</v>
      </c>
      <c r="F95" s="6" t="s">
        <v>864</v>
      </c>
      <c r="G95" s="6">
        <v>3</v>
      </c>
      <c r="H95" s="6">
        <v>3</v>
      </c>
      <c r="I95" s="6">
        <v>52.216000000000001</v>
      </c>
      <c r="J95" s="6">
        <v>25.914999999999999</v>
      </c>
      <c r="K95" s="25">
        <v>3.6779999999999999</v>
      </c>
      <c r="L95" s="22">
        <v>0</v>
      </c>
      <c r="M95" s="22" t="s">
        <v>451</v>
      </c>
      <c r="N95" s="14" t="s">
        <v>452</v>
      </c>
      <c r="O95" s="6" t="s">
        <v>771</v>
      </c>
      <c r="Q95" s="24"/>
      <c r="S95" s="24"/>
    </row>
    <row r="96" spans="1:19" s="6" customFormat="1" x14ac:dyDescent="0.25">
      <c r="A96" s="6" t="s">
        <v>798</v>
      </c>
      <c r="B96" s="6" t="s">
        <v>163</v>
      </c>
      <c r="C96" s="6" t="s">
        <v>802</v>
      </c>
      <c r="D96" s="6" t="s">
        <v>749</v>
      </c>
      <c r="E96" s="6">
        <v>24</v>
      </c>
      <c r="F96" s="6" t="s">
        <v>866</v>
      </c>
      <c r="G96" s="6">
        <v>3</v>
      </c>
      <c r="H96" s="6">
        <v>2</v>
      </c>
      <c r="I96" s="6">
        <v>23.634</v>
      </c>
      <c r="J96" s="6">
        <v>31.341000000000001</v>
      </c>
      <c r="K96" s="25">
        <v>4.7279999999999998</v>
      </c>
      <c r="L96" s="22">
        <v>0</v>
      </c>
      <c r="M96" s="22" t="s">
        <v>451</v>
      </c>
      <c r="N96" s="14" t="s">
        <v>452</v>
      </c>
      <c r="O96" s="6" t="s">
        <v>771</v>
      </c>
      <c r="Q96" s="24"/>
      <c r="S96" s="24"/>
    </row>
    <row r="97" spans="1:21" s="6" customFormat="1" x14ac:dyDescent="0.25">
      <c r="A97" s="6" t="s">
        <v>798</v>
      </c>
      <c r="B97" s="6" t="s">
        <v>163</v>
      </c>
      <c r="C97" s="6" t="s">
        <v>802</v>
      </c>
      <c r="D97" s="6" t="s">
        <v>749</v>
      </c>
      <c r="E97" s="6">
        <v>25</v>
      </c>
      <c r="F97" s="6" t="s">
        <v>867</v>
      </c>
      <c r="G97" s="6">
        <v>3</v>
      </c>
      <c r="H97" s="6">
        <v>3</v>
      </c>
      <c r="I97" s="6">
        <f>51.378+19.764+10.83</f>
        <v>81.971999999999994</v>
      </c>
      <c r="J97" s="6">
        <v>20.524000000000001</v>
      </c>
      <c r="K97" s="25">
        <v>5.7119999999999997</v>
      </c>
      <c r="L97" s="22">
        <v>2</v>
      </c>
      <c r="M97" s="22" t="s">
        <v>451</v>
      </c>
      <c r="N97" s="14">
        <v>7.5490000000000004</v>
      </c>
      <c r="O97" s="6" t="s">
        <v>771</v>
      </c>
      <c r="Q97" s="24"/>
      <c r="S97" s="24"/>
    </row>
    <row r="98" spans="1:21" s="6" customFormat="1" x14ac:dyDescent="0.25">
      <c r="A98" s="6" t="s">
        <v>798</v>
      </c>
      <c r="B98" s="6" t="s">
        <v>163</v>
      </c>
      <c r="C98" s="6" t="s">
        <v>802</v>
      </c>
      <c r="D98" s="6" t="s">
        <v>749</v>
      </c>
      <c r="E98" s="6">
        <v>26</v>
      </c>
      <c r="F98" s="6" t="s">
        <v>868</v>
      </c>
      <c r="G98" s="6">
        <v>3</v>
      </c>
      <c r="H98" s="6">
        <v>4</v>
      </c>
      <c r="I98" s="6">
        <f>112.969+19.698</f>
        <v>132.667</v>
      </c>
      <c r="J98" s="6">
        <v>29.274000000000001</v>
      </c>
      <c r="K98" s="25">
        <v>4.5279999999999996</v>
      </c>
      <c r="L98" s="22">
        <v>2</v>
      </c>
      <c r="M98" s="22" t="s">
        <v>454</v>
      </c>
      <c r="N98" s="14">
        <v>0</v>
      </c>
      <c r="O98" s="6" t="s">
        <v>771</v>
      </c>
      <c r="Q98" s="24"/>
      <c r="S98" s="24"/>
    </row>
    <row r="99" spans="1:21" s="6" customFormat="1" x14ac:dyDescent="0.25">
      <c r="A99" s="6" t="s">
        <v>798</v>
      </c>
      <c r="B99" s="6" t="s">
        <v>163</v>
      </c>
      <c r="C99" s="6" t="s">
        <v>802</v>
      </c>
      <c r="D99" s="6" t="s">
        <v>749</v>
      </c>
      <c r="E99" s="6">
        <v>27</v>
      </c>
      <c r="F99" s="6" t="s">
        <v>869</v>
      </c>
      <c r="G99" s="6">
        <v>3</v>
      </c>
      <c r="H99" s="6">
        <v>3</v>
      </c>
      <c r="I99" s="6">
        <v>42.164000000000001</v>
      </c>
      <c r="J99" s="6">
        <v>24.306999999999999</v>
      </c>
      <c r="K99" s="25">
        <v>6.1029999999999998</v>
      </c>
      <c r="L99" s="22">
        <v>0</v>
      </c>
      <c r="M99" s="22" t="s">
        <v>451</v>
      </c>
      <c r="N99" s="14" t="s">
        <v>452</v>
      </c>
      <c r="O99" s="6" t="s">
        <v>771</v>
      </c>
      <c r="Q99" s="24"/>
      <c r="S99" s="24"/>
    </row>
    <row r="100" spans="1:21" s="6" customFormat="1" x14ac:dyDescent="0.25">
      <c r="A100" s="6" t="s">
        <v>798</v>
      </c>
      <c r="B100" s="6" t="s">
        <v>163</v>
      </c>
      <c r="C100" s="6" t="s">
        <v>802</v>
      </c>
      <c r="D100" s="6" t="s">
        <v>749</v>
      </c>
      <c r="E100" s="6">
        <v>28</v>
      </c>
      <c r="F100" s="6" t="s">
        <v>870</v>
      </c>
      <c r="G100" s="6">
        <v>3</v>
      </c>
      <c r="H100" s="6">
        <v>3</v>
      </c>
      <c r="I100" s="6">
        <f>71.445+25.24+22.765</f>
        <v>119.44999999999999</v>
      </c>
      <c r="J100" s="6">
        <v>32.247999999999998</v>
      </c>
      <c r="K100" s="25">
        <v>6.3940000000000001</v>
      </c>
      <c r="L100" s="22">
        <v>1</v>
      </c>
      <c r="M100" s="22" t="s">
        <v>454</v>
      </c>
      <c r="N100" s="14">
        <v>0</v>
      </c>
      <c r="O100" s="6" t="s">
        <v>771</v>
      </c>
      <c r="Q100" s="24"/>
      <c r="S100" s="24"/>
    </row>
    <row r="101" spans="1:21" s="6" customFormat="1" x14ac:dyDescent="0.25">
      <c r="A101" s="6" t="s">
        <v>798</v>
      </c>
      <c r="B101" s="6" t="s">
        <v>163</v>
      </c>
      <c r="C101" s="6" t="s">
        <v>802</v>
      </c>
      <c r="D101" s="6" t="s">
        <v>749</v>
      </c>
      <c r="E101" s="6">
        <v>29</v>
      </c>
      <c r="F101" s="6" t="s">
        <v>871</v>
      </c>
      <c r="G101" s="6">
        <v>3</v>
      </c>
      <c r="H101" s="6">
        <v>3</v>
      </c>
      <c r="I101" s="6">
        <f>83.206+23.666</f>
        <v>106.872</v>
      </c>
      <c r="J101" s="6">
        <v>31.170999999999999</v>
      </c>
      <c r="K101" s="25">
        <v>6.1950000000000003</v>
      </c>
      <c r="L101" s="22">
        <v>1</v>
      </c>
      <c r="M101" s="22" t="s">
        <v>454</v>
      </c>
      <c r="N101" s="14">
        <v>0</v>
      </c>
      <c r="O101" s="6" t="s">
        <v>771</v>
      </c>
      <c r="Q101" s="24"/>
      <c r="S101" s="24"/>
    </row>
    <row r="102" spans="1:21" s="6" customFormat="1" x14ac:dyDescent="0.25">
      <c r="A102" s="6" t="s">
        <v>798</v>
      </c>
      <c r="B102" s="6" t="s">
        <v>163</v>
      </c>
      <c r="C102" s="6" t="s">
        <v>802</v>
      </c>
      <c r="D102" s="6" t="s">
        <v>749</v>
      </c>
      <c r="E102" s="6">
        <v>30</v>
      </c>
      <c r="F102" s="6" t="s">
        <v>872</v>
      </c>
      <c r="G102" s="6">
        <v>3</v>
      </c>
      <c r="H102" s="6">
        <v>2</v>
      </c>
      <c r="I102" s="6">
        <v>42.134</v>
      </c>
      <c r="J102" s="6">
        <v>54.054000000000002</v>
      </c>
      <c r="K102" s="25">
        <v>4.5880000000000001</v>
      </c>
      <c r="L102" s="22">
        <v>0</v>
      </c>
      <c r="M102" s="22" t="s">
        <v>451</v>
      </c>
      <c r="N102" s="14" t="s">
        <v>452</v>
      </c>
      <c r="O102" s="6" t="s">
        <v>771</v>
      </c>
      <c r="Q102" s="24"/>
      <c r="S102" s="24"/>
    </row>
    <row r="103" spans="1:21" s="6" customFormat="1" x14ac:dyDescent="0.25">
      <c r="A103" s="6" t="s">
        <v>798</v>
      </c>
      <c r="B103" s="6" t="s">
        <v>163</v>
      </c>
      <c r="C103" s="6" t="s">
        <v>802</v>
      </c>
      <c r="D103" s="6" t="s">
        <v>749</v>
      </c>
      <c r="E103" s="6">
        <v>31</v>
      </c>
      <c r="F103" s="6" t="s">
        <v>873</v>
      </c>
      <c r="G103" s="6">
        <v>3</v>
      </c>
      <c r="H103" s="6">
        <v>2</v>
      </c>
      <c r="I103" s="6">
        <f>49.937+18.547</f>
        <v>68.483999999999995</v>
      </c>
      <c r="J103" s="6">
        <v>42.201999999999998</v>
      </c>
      <c r="K103" s="25">
        <v>7.1449999999999996</v>
      </c>
      <c r="L103" s="22">
        <v>1</v>
      </c>
      <c r="M103" s="22" t="s">
        <v>454</v>
      </c>
      <c r="N103" s="14">
        <v>0</v>
      </c>
      <c r="O103" s="6" t="s">
        <v>771</v>
      </c>
      <c r="Q103" s="24"/>
      <c r="S103" s="24"/>
    </row>
    <row r="104" spans="1:21" s="6" customFormat="1" x14ac:dyDescent="0.25">
      <c r="A104" s="6" t="s">
        <v>798</v>
      </c>
      <c r="B104" s="6" t="s">
        <v>163</v>
      </c>
      <c r="C104" s="6" t="s">
        <v>802</v>
      </c>
      <c r="D104" s="6" t="s">
        <v>749</v>
      </c>
      <c r="E104" s="6">
        <v>32</v>
      </c>
      <c r="F104" s="6" t="s">
        <v>874</v>
      </c>
      <c r="G104" s="6">
        <v>3</v>
      </c>
      <c r="H104" s="6">
        <v>2</v>
      </c>
      <c r="I104" s="6">
        <f>35.989+15.788</f>
        <v>51.777000000000001</v>
      </c>
      <c r="J104" s="6">
        <v>53.929000000000002</v>
      </c>
      <c r="K104" s="25">
        <v>7.9130000000000003</v>
      </c>
      <c r="L104" s="22">
        <v>1</v>
      </c>
      <c r="M104" s="22" t="s">
        <v>454</v>
      </c>
      <c r="N104" s="14">
        <v>0</v>
      </c>
      <c r="O104" s="6" t="s">
        <v>771</v>
      </c>
      <c r="Q104" s="24"/>
      <c r="S104" s="24"/>
    </row>
    <row r="105" spans="1:21" s="6" customFormat="1" x14ac:dyDescent="0.25">
      <c r="A105" s="6" t="s">
        <v>798</v>
      </c>
      <c r="B105" s="6" t="s">
        <v>163</v>
      </c>
      <c r="C105" s="6" t="s">
        <v>802</v>
      </c>
      <c r="D105" s="6" t="s">
        <v>749</v>
      </c>
      <c r="E105" s="6">
        <v>33</v>
      </c>
      <c r="F105" s="6" t="s">
        <v>875</v>
      </c>
      <c r="G105" s="6">
        <v>3</v>
      </c>
      <c r="H105" s="6">
        <v>3</v>
      </c>
      <c r="I105" s="6">
        <f>37.935+21.982</f>
        <v>59.917000000000002</v>
      </c>
      <c r="J105" s="6">
        <v>32.25</v>
      </c>
      <c r="K105" s="25">
        <v>5.2690000000000001</v>
      </c>
      <c r="L105" s="22">
        <v>1</v>
      </c>
      <c r="M105" s="22" t="s">
        <v>454</v>
      </c>
      <c r="N105" s="14">
        <v>0</v>
      </c>
      <c r="O105" s="6" t="s">
        <v>771</v>
      </c>
      <c r="Q105" s="24"/>
      <c r="S105" s="24"/>
    </row>
    <row r="106" spans="1:21" s="6" customFormat="1" x14ac:dyDescent="0.25">
      <c r="A106" s="6" t="s">
        <v>798</v>
      </c>
      <c r="B106" s="6" t="s">
        <v>163</v>
      </c>
      <c r="C106" s="6" t="s">
        <v>802</v>
      </c>
      <c r="D106" s="6" t="s">
        <v>749</v>
      </c>
      <c r="E106" s="6">
        <v>35</v>
      </c>
      <c r="F106" s="6" t="s">
        <v>876</v>
      </c>
      <c r="G106" s="6">
        <v>3</v>
      </c>
      <c r="H106" s="6">
        <v>3</v>
      </c>
      <c r="I106" s="6">
        <v>30.37</v>
      </c>
      <c r="J106" s="6">
        <v>33.789000000000001</v>
      </c>
      <c r="K106" s="25">
        <v>3.8879999999999999</v>
      </c>
      <c r="L106" s="22">
        <v>0</v>
      </c>
      <c r="M106" s="22" t="s">
        <v>451</v>
      </c>
      <c r="N106" s="14" t="s">
        <v>452</v>
      </c>
      <c r="O106" s="6" t="s">
        <v>771</v>
      </c>
      <c r="Q106" s="24"/>
      <c r="S106" s="24"/>
    </row>
    <row r="107" spans="1:21" s="6" customFormat="1" x14ac:dyDescent="0.25">
      <c r="A107" s="6" t="s">
        <v>798</v>
      </c>
      <c r="B107" s="6" t="s">
        <v>163</v>
      </c>
      <c r="C107" s="6" t="s">
        <v>802</v>
      </c>
      <c r="D107" s="6" t="s">
        <v>749</v>
      </c>
      <c r="E107" s="6">
        <v>36</v>
      </c>
      <c r="F107" s="6" t="s">
        <v>877</v>
      </c>
      <c r="G107" s="6">
        <v>3</v>
      </c>
      <c r="H107" s="6">
        <v>4</v>
      </c>
      <c r="I107" s="6">
        <v>72.477999999999994</v>
      </c>
      <c r="J107" s="6">
        <v>18.154</v>
      </c>
      <c r="K107" s="25">
        <v>4.0220000000000002</v>
      </c>
      <c r="L107" s="22">
        <v>1</v>
      </c>
      <c r="M107" s="22" t="s">
        <v>454</v>
      </c>
      <c r="N107" s="14">
        <v>0</v>
      </c>
      <c r="O107" s="6" t="s">
        <v>771</v>
      </c>
      <c r="Q107" s="24"/>
      <c r="S107" s="24"/>
    </row>
    <row r="108" spans="1:21" s="6" customFormat="1" x14ac:dyDescent="0.25">
      <c r="A108" s="6" t="s">
        <v>798</v>
      </c>
      <c r="B108" s="6" t="s">
        <v>163</v>
      </c>
      <c r="C108" s="6" t="s">
        <v>802</v>
      </c>
      <c r="D108" s="6" t="s">
        <v>749</v>
      </c>
      <c r="E108" s="6">
        <v>38</v>
      </c>
      <c r="F108" s="6" t="s">
        <v>878</v>
      </c>
      <c r="G108" s="6">
        <v>2</v>
      </c>
      <c r="H108" s="6">
        <v>2</v>
      </c>
      <c r="I108" s="6">
        <v>54.734000000000002</v>
      </c>
      <c r="J108" s="6">
        <v>45.412999999999997</v>
      </c>
      <c r="K108" s="25">
        <v>8.6669999999999998</v>
      </c>
      <c r="L108" s="22">
        <v>0</v>
      </c>
      <c r="M108" s="22" t="s">
        <v>451</v>
      </c>
      <c r="N108" s="14" t="s">
        <v>452</v>
      </c>
      <c r="O108" s="6" t="s">
        <v>771</v>
      </c>
      <c r="Q108" s="24"/>
      <c r="S108" s="24"/>
    </row>
    <row r="109" spans="1:21" s="6" customFormat="1" ht="18" customHeight="1" x14ac:dyDescent="0.25">
      <c r="A109" s="6" t="s">
        <v>798</v>
      </c>
      <c r="B109" s="6" t="s">
        <v>163</v>
      </c>
      <c r="C109" s="6" t="s">
        <v>802</v>
      </c>
      <c r="D109" s="6" t="s">
        <v>749</v>
      </c>
      <c r="E109" s="6">
        <v>42</v>
      </c>
      <c r="G109" s="6">
        <v>3</v>
      </c>
      <c r="H109" s="6">
        <v>4</v>
      </c>
      <c r="I109" s="6">
        <f>87.703+66.081</f>
        <v>153.78399999999999</v>
      </c>
      <c r="J109" s="6">
        <v>16.323</v>
      </c>
      <c r="K109" s="25">
        <v>4.109</v>
      </c>
      <c r="L109" s="22">
        <v>1</v>
      </c>
      <c r="M109" s="22" t="s">
        <v>451</v>
      </c>
      <c r="N109" s="14">
        <v>5.931</v>
      </c>
      <c r="O109" s="6" t="s">
        <v>771</v>
      </c>
      <c r="Q109" s="24"/>
      <c r="S109" s="24"/>
    </row>
    <row r="110" spans="1:21" x14ac:dyDescent="0.25">
      <c r="A110" t="s">
        <v>92</v>
      </c>
      <c r="B110" t="s">
        <v>163</v>
      </c>
      <c r="D110" t="s">
        <v>751</v>
      </c>
      <c r="E110">
        <v>1</v>
      </c>
      <c r="F110" t="s">
        <v>93</v>
      </c>
      <c r="G110" s="6">
        <v>3</v>
      </c>
      <c r="H110">
        <v>3</v>
      </c>
      <c r="I110">
        <f>28.405+27.987+39.113</f>
        <v>95.504999999999995</v>
      </c>
      <c r="J110">
        <v>29.707000000000001</v>
      </c>
      <c r="K110">
        <f>(3.119+2.111+2.45)/3</f>
        <v>2.56</v>
      </c>
      <c r="L110" s="8">
        <v>2</v>
      </c>
      <c r="M110" s="8" t="s">
        <v>454</v>
      </c>
      <c r="N110" s="14">
        <v>0</v>
      </c>
      <c r="O110" s="6"/>
      <c r="Q110" s="5"/>
      <c r="R110" s="2" t="s">
        <v>749</v>
      </c>
      <c r="S110" s="2" t="s">
        <v>751</v>
      </c>
      <c r="T110" s="2" t="s">
        <v>752</v>
      </c>
      <c r="U110" s="2" t="s">
        <v>753</v>
      </c>
    </row>
    <row r="111" spans="1:21" x14ac:dyDescent="0.25">
      <c r="A111" t="s">
        <v>92</v>
      </c>
      <c r="B111" t="s">
        <v>163</v>
      </c>
      <c r="D111" t="s">
        <v>751</v>
      </c>
      <c r="E111">
        <v>2</v>
      </c>
      <c r="F111" t="s">
        <v>94</v>
      </c>
      <c r="G111" s="6">
        <v>3</v>
      </c>
      <c r="H111">
        <v>3</v>
      </c>
      <c r="I111">
        <v>65.224999999999994</v>
      </c>
      <c r="J111">
        <v>39.558999999999997</v>
      </c>
      <c r="K111">
        <f>(3.167+2.818)/2</f>
        <v>2.9924999999999997</v>
      </c>
      <c r="L111" s="8">
        <v>0</v>
      </c>
      <c r="M111" s="8" t="s">
        <v>451</v>
      </c>
      <c r="N111" s="14" t="s">
        <v>452</v>
      </c>
      <c r="Q111" s="5" t="s">
        <v>180</v>
      </c>
      <c r="R111">
        <v>390</v>
      </c>
      <c r="S111">
        <v>280</v>
      </c>
    </row>
    <row r="112" spans="1:21" x14ac:dyDescent="0.25">
      <c r="A112" t="s">
        <v>92</v>
      </c>
      <c r="B112" t="s">
        <v>163</v>
      </c>
      <c r="D112" t="s">
        <v>751</v>
      </c>
      <c r="E112">
        <v>4</v>
      </c>
      <c r="F112" t="s">
        <v>96</v>
      </c>
      <c r="G112" s="6">
        <v>3</v>
      </c>
      <c r="H112">
        <v>3</v>
      </c>
      <c r="I112">
        <v>55.957000000000001</v>
      </c>
      <c r="J112">
        <v>46.363999999999997</v>
      </c>
      <c r="K112">
        <v>3.6</v>
      </c>
      <c r="L112" s="8">
        <v>0</v>
      </c>
      <c r="M112" s="8" t="s">
        <v>451</v>
      </c>
      <c r="N112" s="14" t="s">
        <v>452</v>
      </c>
      <c r="Q112" s="5" t="s">
        <v>181</v>
      </c>
      <c r="R112">
        <f>AVERAGE(L110:L500)</f>
        <v>0.98465473145780047</v>
      </c>
      <c r="S112">
        <f>AVERAGE(L501:L763)</f>
        <v>1.102661596958175</v>
      </c>
      <c r="T112">
        <f>STDEV(L$501:L$763)/SQRT(COUNT(L$501:L$763))</f>
        <v>5.3091812531616732E-2</v>
      </c>
      <c r="U112">
        <f>STDEV(L$501:L$763)/SQRT(COUNT(L$501:L$763))</f>
        <v>5.3091812531616732E-2</v>
      </c>
    </row>
    <row r="113" spans="1:21" x14ac:dyDescent="0.25">
      <c r="A113" t="s">
        <v>92</v>
      </c>
      <c r="B113" t="s">
        <v>163</v>
      </c>
      <c r="D113" t="s">
        <v>751</v>
      </c>
      <c r="E113">
        <v>6</v>
      </c>
      <c r="F113" t="s">
        <v>98</v>
      </c>
      <c r="G113" s="6">
        <v>3</v>
      </c>
      <c r="H113">
        <v>3</v>
      </c>
      <c r="I113">
        <v>93.680999999999997</v>
      </c>
      <c r="J113">
        <v>43.36</v>
      </c>
      <c r="K113">
        <f>(2.491+1.2)/2</f>
        <v>1.8454999999999999</v>
      </c>
      <c r="L113" s="8">
        <v>0</v>
      </c>
      <c r="M113" s="8" t="s">
        <v>451</v>
      </c>
      <c r="N113" s="14" t="s">
        <v>452</v>
      </c>
      <c r="O113" s="1" t="s">
        <v>177</v>
      </c>
      <c r="Q113" s="5" t="s">
        <v>182</v>
      </c>
      <c r="R113">
        <f>AVERAGE(K110:K500)</f>
        <v>3.4462609121909598</v>
      </c>
      <c r="S113">
        <f>AVERAGE(K501:K763)</f>
        <v>3.259103295310517</v>
      </c>
      <c r="T113">
        <f>STDEV(K$110:K$500)/SQRT(COUNT(K$110:K$500))</f>
        <v>0.10167751974470014</v>
      </c>
      <c r="U113">
        <f>STDEV(K$501:K$763)/SQRT(COUNT(K$501:K$763))</f>
        <v>0.11058759102035598</v>
      </c>
    </row>
    <row r="114" spans="1:21" x14ac:dyDescent="0.25">
      <c r="A114" t="s">
        <v>92</v>
      </c>
      <c r="B114" t="s">
        <v>163</v>
      </c>
      <c r="D114" t="s">
        <v>751</v>
      </c>
      <c r="E114">
        <v>7</v>
      </c>
      <c r="F114" t="s">
        <v>99</v>
      </c>
      <c r="G114" s="6">
        <v>3</v>
      </c>
      <c r="H114">
        <v>3</v>
      </c>
      <c r="I114">
        <f>52.827+11.318</f>
        <v>64.144999999999996</v>
      </c>
      <c r="J114">
        <v>57.067</v>
      </c>
      <c r="K114">
        <f>(3.788+4.303)/2</f>
        <v>4.0454999999999997</v>
      </c>
      <c r="L114" s="8">
        <v>1</v>
      </c>
      <c r="M114" s="8" t="s">
        <v>454</v>
      </c>
      <c r="N114" s="14">
        <v>0</v>
      </c>
      <c r="Q114" s="5" t="s">
        <v>183</v>
      </c>
      <c r="R114">
        <f>AVERAGE(J110:J500)</f>
        <v>42.727833759590808</v>
      </c>
      <c r="S114">
        <f>AVERAGE(J501:J763)</f>
        <v>41.174460076045641</v>
      </c>
      <c r="T114">
        <f>STDEV(J$110:J$500)/SQRT(COUNT(J$110:J$500))</f>
        <v>0.85265592860603034</v>
      </c>
      <c r="U114">
        <f>STDEV(J$501:J$763)/SQRT(COUNT(J$501:J$763))</f>
        <v>1.040323273513752</v>
      </c>
    </row>
    <row r="115" spans="1:21" x14ac:dyDescent="0.25">
      <c r="A115" t="s">
        <v>92</v>
      </c>
      <c r="B115" t="s">
        <v>163</v>
      </c>
      <c r="D115" t="s">
        <v>751</v>
      </c>
      <c r="E115">
        <v>8</v>
      </c>
      <c r="F115" t="s">
        <v>100</v>
      </c>
      <c r="G115" s="6">
        <v>3</v>
      </c>
      <c r="H115">
        <v>3</v>
      </c>
      <c r="I115">
        <v>102.21299999999999</v>
      </c>
      <c r="J115">
        <v>39.006999999999998</v>
      </c>
      <c r="K115">
        <v>3.3220000000000001</v>
      </c>
      <c r="L115" s="8">
        <v>0</v>
      </c>
      <c r="M115" s="8" t="s">
        <v>451</v>
      </c>
      <c r="N115" s="14" t="s">
        <v>452</v>
      </c>
      <c r="Q115" s="5" t="s">
        <v>184</v>
      </c>
      <c r="R115">
        <f>AVERAGE(I110:I500)</f>
        <v>89.365260869565219</v>
      </c>
      <c r="S115">
        <f>AVERAGE(I501:I763)</f>
        <v>101.57361596958174</v>
      </c>
      <c r="T115">
        <f>STDEV(I$110:I$500)/SQRT(COUNT(I$110:I$500))</f>
        <v>1.9155316369775108</v>
      </c>
      <c r="U115">
        <f>STDEV(I$501:I$763)/SQRT(COUNT(I$501:I$763))</f>
        <v>2.4198548547409122</v>
      </c>
    </row>
    <row r="116" spans="1:21" x14ac:dyDescent="0.25">
      <c r="A116" t="s">
        <v>92</v>
      </c>
      <c r="B116" t="s">
        <v>163</v>
      </c>
      <c r="D116" t="s">
        <v>751</v>
      </c>
      <c r="E116">
        <v>9</v>
      </c>
      <c r="F116" t="s">
        <v>101</v>
      </c>
      <c r="G116" s="6">
        <v>3</v>
      </c>
      <c r="H116">
        <v>3</v>
      </c>
      <c r="I116">
        <f>109.088+55.5+8.502</f>
        <v>173.09</v>
      </c>
      <c r="J116">
        <v>35.996000000000002</v>
      </c>
      <c r="K116">
        <v>3.8460000000000001</v>
      </c>
      <c r="L116" s="8">
        <v>2</v>
      </c>
      <c r="M116" s="8" t="s">
        <v>454</v>
      </c>
      <c r="N116" s="14">
        <v>0</v>
      </c>
    </row>
    <row r="117" spans="1:21" x14ac:dyDescent="0.25">
      <c r="A117" t="s">
        <v>92</v>
      </c>
      <c r="B117" t="s">
        <v>163</v>
      </c>
      <c r="D117" t="s">
        <v>751</v>
      </c>
      <c r="E117">
        <v>10</v>
      </c>
      <c r="F117" t="s">
        <v>102</v>
      </c>
      <c r="G117" s="6">
        <v>3</v>
      </c>
      <c r="H117">
        <v>3</v>
      </c>
      <c r="I117">
        <v>144.30000000000001</v>
      </c>
      <c r="J117">
        <v>40.893000000000001</v>
      </c>
      <c r="K117">
        <v>2.395</v>
      </c>
      <c r="L117" s="8">
        <v>1</v>
      </c>
      <c r="M117" s="8" t="s">
        <v>451</v>
      </c>
      <c r="N117" s="14">
        <v>44.164999999999999</v>
      </c>
    </row>
    <row r="118" spans="1:21" x14ac:dyDescent="0.25">
      <c r="A118" t="s">
        <v>92</v>
      </c>
      <c r="B118" t="s">
        <v>163</v>
      </c>
      <c r="D118" t="s">
        <v>751</v>
      </c>
      <c r="E118">
        <v>11</v>
      </c>
      <c r="F118" t="s">
        <v>103</v>
      </c>
      <c r="G118" s="6">
        <v>3</v>
      </c>
      <c r="H118">
        <v>3</v>
      </c>
      <c r="I118">
        <v>38.575000000000003</v>
      </c>
      <c r="J118">
        <v>49.956000000000003</v>
      </c>
      <c r="K118">
        <f>(3.401+2.608)/2</f>
        <v>3.0045000000000002</v>
      </c>
      <c r="L118" s="8">
        <v>0</v>
      </c>
      <c r="M118" s="8" t="s">
        <v>451</v>
      </c>
      <c r="N118" s="14" t="s">
        <v>452</v>
      </c>
    </row>
    <row r="119" spans="1:21" x14ac:dyDescent="0.25">
      <c r="A119" t="s">
        <v>92</v>
      </c>
      <c r="B119" t="s">
        <v>163</v>
      </c>
      <c r="D119" t="s">
        <v>751</v>
      </c>
      <c r="E119">
        <v>12</v>
      </c>
      <c r="F119" t="s">
        <v>104</v>
      </c>
      <c r="G119" s="6">
        <v>3</v>
      </c>
      <c r="H119">
        <v>3</v>
      </c>
      <c r="I119">
        <f>55.921+54.259</f>
        <v>110.18</v>
      </c>
      <c r="J119">
        <v>38.101999999999997</v>
      </c>
      <c r="K119">
        <f>(2.326+3.127+3.35)/3</f>
        <v>2.934333333333333</v>
      </c>
      <c r="L119" s="8">
        <v>1</v>
      </c>
      <c r="M119" s="8" t="s">
        <v>454</v>
      </c>
      <c r="N119" s="14">
        <v>0</v>
      </c>
      <c r="Q119" s="5" t="s">
        <v>185</v>
      </c>
      <c r="R119" s="2">
        <v>2</v>
      </c>
      <c r="S119" s="2">
        <v>3</v>
      </c>
      <c r="T119" s="2">
        <v>4</v>
      </c>
      <c r="U119" s="2" t="s">
        <v>756</v>
      </c>
    </row>
    <row r="120" spans="1:21" x14ac:dyDescent="0.25">
      <c r="A120" t="s">
        <v>92</v>
      </c>
      <c r="B120" t="s">
        <v>163</v>
      </c>
      <c r="D120" t="s">
        <v>751</v>
      </c>
      <c r="E120">
        <v>13</v>
      </c>
      <c r="F120" t="s">
        <v>105</v>
      </c>
      <c r="G120" s="6">
        <v>3</v>
      </c>
      <c r="H120">
        <v>3</v>
      </c>
      <c r="I120">
        <v>38.74</v>
      </c>
      <c r="J120">
        <v>40.116999999999997</v>
      </c>
      <c r="K120">
        <f>(1.837+2.986)/2</f>
        <v>2.4115000000000002</v>
      </c>
      <c r="L120" s="8">
        <v>0</v>
      </c>
      <c r="M120" s="8" t="s">
        <v>451</v>
      </c>
      <c r="N120" s="14" t="s">
        <v>452</v>
      </c>
      <c r="Q120" s="5" t="s">
        <v>749</v>
      </c>
      <c r="R120">
        <v>63</v>
      </c>
      <c r="S120">
        <v>184</v>
      </c>
      <c r="T120">
        <v>143</v>
      </c>
      <c r="U120">
        <f>SUM(R120:T120)</f>
        <v>390</v>
      </c>
    </row>
    <row r="121" spans="1:21" x14ac:dyDescent="0.25">
      <c r="A121" t="s">
        <v>92</v>
      </c>
      <c r="B121" t="s">
        <v>163</v>
      </c>
      <c r="D121" t="s">
        <v>751</v>
      </c>
      <c r="E121">
        <v>15</v>
      </c>
      <c r="F121" t="s">
        <v>107</v>
      </c>
      <c r="G121" s="6">
        <v>3</v>
      </c>
      <c r="H121">
        <v>3</v>
      </c>
      <c r="I121">
        <v>90.484999999999999</v>
      </c>
      <c r="J121">
        <v>23.491</v>
      </c>
      <c r="K121">
        <f>(2.739+2.941)/2</f>
        <v>2.84</v>
      </c>
      <c r="L121" s="8">
        <v>1</v>
      </c>
      <c r="M121" s="8" t="s">
        <v>451</v>
      </c>
      <c r="N121" s="14">
        <v>39.127000000000002</v>
      </c>
      <c r="Q121" s="5" t="s">
        <v>751</v>
      </c>
      <c r="R121">
        <v>31</v>
      </c>
      <c r="S121">
        <v>158</v>
      </c>
      <c r="T121">
        <v>91</v>
      </c>
      <c r="U121">
        <f>SUM(R121:T121)</f>
        <v>280</v>
      </c>
    </row>
    <row r="122" spans="1:21" x14ac:dyDescent="0.25">
      <c r="A122" t="s">
        <v>92</v>
      </c>
      <c r="B122" t="s">
        <v>163</v>
      </c>
      <c r="D122" t="s">
        <v>751</v>
      </c>
      <c r="E122">
        <v>17</v>
      </c>
      <c r="F122" t="s">
        <v>109</v>
      </c>
      <c r="G122" s="6">
        <v>3</v>
      </c>
      <c r="H122">
        <v>3</v>
      </c>
      <c r="I122">
        <v>112.059</v>
      </c>
      <c r="J122">
        <v>34.481000000000002</v>
      </c>
      <c r="K122">
        <f>(4.496+3.387)/2</f>
        <v>3.9415000000000004</v>
      </c>
      <c r="L122" s="8">
        <v>0</v>
      </c>
      <c r="M122" s="8" t="s">
        <v>451</v>
      </c>
      <c r="N122" s="14" t="s">
        <v>452</v>
      </c>
      <c r="O122" s="1" t="s">
        <v>169</v>
      </c>
      <c r="Q122" s="5" t="s">
        <v>754</v>
      </c>
      <c r="R122">
        <f>(R120/$U$120)*100</f>
        <v>16.153846153846153</v>
      </c>
      <c r="S122">
        <f>(S120/$U$120)*100</f>
        <v>47.179487179487175</v>
      </c>
      <c r="T122">
        <f>(T120/$U$120)*100</f>
        <v>36.666666666666664</v>
      </c>
      <c r="U122">
        <f>SUM(R122:T122)</f>
        <v>100</v>
      </c>
    </row>
    <row r="123" spans="1:21" x14ac:dyDescent="0.25">
      <c r="A123" t="s">
        <v>92</v>
      </c>
      <c r="B123" t="s">
        <v>163</v>
      </c>
      <c r="D123" t="s">
        <v>751</v>
      </c>
      <c r="E123">
        <v>18</v>
      </c>
      <c r="F123" t="s">
        <v>110</v>
      </c>
      <c r="G123" s="6">
        <v>3</v>
      </c>
      <c r="H123">
        <v>3</v>
      </c>
      <c r="I123">
        <v>72.625</v>
      </c>
      <c r="J123">
        <v>27.814</v>
      </c>
      <c r="K123">
        <f>(2.54+4.286)/2</f>
        <v>3.4129999999999998</v>
      </c>
      <c r="L123" s="8">
        <v>1</v>
      </c>
      <c r="M123" s="8" t="s">
        <v>454</v>
      </c>
      <c r="N123" s="14">
        <v>38.131999999999998</v>
      </c>
      <c r="O123" s="1" t="s">
        <v>177</v>
      </c>
      <c r="Q123" s="5" t="s">
        <v>755</v>
      </c>
      <c r="R123">
        <f>(R121/$U$121)*100</f>
        <v>11.071428571428571</v>
      </c>
      <c r="S123">
        <f>(S121/$U$121)*100</f>
        <v>56.428571428571431</v>
      </c>
      <c r="T123">
        <f>(T121/$U$121)*100</f>
        <v>32.5</v>
      </c>
      <c r="U123">
        <f>SUM(R123:T123)</f>
        <v>100</v>
      </c>
    </row>
    <row r="124" spans="1:21" x14ac:dyDescent="0.25">
      <c r="A124" t="s">
        <v>92</v>
      </c>
      <c r="B124" t="s">
        <v>163</v>
      </c>
      <c r="D124" t="s">
        <v>751</v>
      </c>
      <c r="E124">
        <v>20</v>
      </c>
      <c r="F124" t="s">
        <v>112</v>
      </c>
      <c r="G124" s="6">
        <v>3</v>
      </c>
      <c r="H124">
        <v>3</v>
      </c>
      <c r="I124">
        <v>64.826999999999998</v>
      </c>
      <c r="J124">
        <v>30.015999999999998</v>
      </c>
      <c r="K124">
        <f>(5.78+5.125)/2</f>
        <v>5.4525000000000006</v>
      </c>
      <c r="L124" s="8">
        <v>0</v>
      </c>
      <c r="M124" s="8" t="s">
        <v>451</v>
      </c>
      <c r="N124" s="14" t="s">
        <v>452</v>
      </c>
      <c r="Q124" s="5"/>
    </row>
    <row r="125" spans="1:21" x14ac:dyDescent="0.25">
      <c r="A125" t="s">
        <v>92</v>
      </c>
      <c r="B125" t="s">
        <v>163</v>
      </c>
      <c r="D125" t="s">
        <v>751</v>
      </c>
      <c r="E125">
        <v>21</v>
      </c>
      <c r="F125" t="s">
        <v>113</v>
      </c>
      <c r="G125" s="6">
        <v>3</v>
      </c>
      <c r="H125">
        <v>3</v>
      </c>
      <c r="I125">
        <v>63.290999999999997</v>
      </c>
      <c r="J125">
        <v>21.808</v>
      </c>
      <c r="K125">
        <f>(4.485+4.474)/2</f>
        <v>4.4794999999999998</v>
      </c>
      <c r="L125" s="8">
        <v>0</v>
      </c>
      <c r="M125" s="8" t="s">
        <v>451</v>
      </c>
      <c r="N125" s="14" t="s">
        <v>452</v>
      </c>
      <c r="O125" s="1" t="s">
        <v>171</v>
      </c>
    </row>
    <row r="126" spans="1:21" x14ac:dyDescent="0.25">
      <c r="A126" t="s">
        <v>92</v>
      </c>
      <c r="B126" t="s">
        <v>163</v>
      </c>
      <c r="D126" t="s">
        <v>751</v>
      </c>
      <c r="E126">
        <v>22</v>
      </c>
      <c r="F126" t="s">
        <v>114</v>
      </c>
      <c r="G126" s="6">
        <v>3</v>
      </c>
      <c r="H126">
        <v>3</v>
      </c>
      <c r="I126">
        <v>44.969000000000001</v>
      </c>
      <c r="J126">
        <v>18.792000000000002</v>
      </c>
      <c r="K126">
        <f>(3.593+3.867)/2</f>
        <v>3.73</v>
      </c>
      <c r="L126" s="8">
        <v>0</v>
      </c>
      <c r="M126" s="8" t="s">
        <v>451</v>
      </c>
      <c r="N126" s="14" t="s">
        <v>452</v>
      </c>
      <c r="Q126" s="5" t="s">
        <v>190</v>
      </c>
      <c r="R126" s="2">
        <v>2</v>
      </c>
      <c r="S126" s="2">
        <v>3</v>
      </c>
      <c r="T126" s="2">
        <v>4</v>
      </c>
    </row>
    <row r="127" spans="1:21" x14ac:dyDescent="0.25">
      <c r="A127" t="s">
        <v>92</v>
      </c>
      <c r="B127" t="s">
        <v>163</v>
      </c>
      <c r="D127" t="s">
        <v>751</v>
      </c>
      <c r="E127">
        <v>23</v>
      </c>
      <c r="F127" t="s">
        <v>115</v>
      </c>
      <c r="G127" s="6">
        <v>3</v>
      </c>
      <c r="H127">
        <v>3</v>
      </c>
      <c r="I127">
        <v>66.870999999999995</v>
      </c>
      <c r="J127">
        <v>36.066000000000003</v>
      </c>
      <c r="K127">
        <f>(3.151+2.114)/2</f>
        <v>2.6324999999999998</v>
      </c>
      <c r="L127" s="8">
        <v>0</v>
      </c>
      <c r="M127" s="8" t="s">
        <v>451</v>
      </c>
      <c r="N127" s="14" t="s">
        <v>452</v>
      </c>
      <c r="Q127" s="5" t="s">
        <v>749</v>
      </c>
      <c r="R127">
        <f>AVERAGE($I$110:$I$170)</f>
        <v>92.923295081967225</v>
      </c>
      <c r="S127">
        <f>AVERAGE($I$171:$I$355)</f>
        <v>87.156599999999997</v>
      </c>
      <c r="T127">
        <f>AVERAGE($I$356:$I$500)</f>
        <v>90.68637931034479</v>
      </c>
    </row>
    <row r="128" spans="1:21" x14ac:dyDescent="0.25">
      <c r="A128" t="s">
        <v>92</v>
      </c>
      <c r="B128" t="s">
        <v>163</v>
      </c>
      <c r="D128" t="s">
        <v>751</v>
      </c>
      <c r="E128">
        <v>3</v>
      </c>
      <c r="F128" t="s">
        <v>95</v>
      </c>
      <c r="G128" s="6">
        <v>3</v>
      </c>
      <c r="H128">
        <v>4</v>
      </c>
      <c r="I128">
        <v>51.786999999999999</v>
      </c>
      <c r="J128">
        <v>25.859000000000002</v>
      </c>
      <c r="K128">
        <f>(2.792+2.102)/2</f>
        <v>2.4470000000000001</v>
      </c>
      <c r="L128" s="8">
        <v>0</v>
      </c>
      <c r="M128" s="8" t="s">
        <v>451</v>
      </c>
      <c r="N128" s="14" t="s">
        <v>452</v>
      </c>
      <c r="Q128" s="5" t="s">
        <v>752</v>
      </c>
      <c r="R128">
        <f>STDEV($I$110:$I$170)/SQRT(COUNT($I$110:$I$170))</f>
        <v>4.3269645591126089</v>
      </c>
      <c r="S128">
        <f>STDEV($I$171:$I$355)/SQRT(COUNT($I$171:$I$355))</f>
        <v>2.4025552121372336</v>
      </c>
      <c r="T128">
        <f>STDEV($I$356:$I$500)/SQRT(COUNT($I$356:$I$500))</f>
        <v>3.7433528672440093</v>
      </c>
    </row>
    <row r="129" spans="1:20" x14ac:dyDescent="0.25">
      <c r="A129" t="s">
        <v>92</v>
      </c>
      <c r="B129" t="s">
        <v>163</v>
      </c>
      <c r="D129" t="s">
        <v>751</v>
      </c>
      <c r="E129">
        <v>5</v>
      </c>
      <c r="F129" t="s">
        <v>97</v>
      </c>
      <c r="G129" s="6">
        <v>3</v>
      </c>
      <c r="H129">
        <v>4</v>
      </c>
      <c r="I129">
        <f>86.216+27.218</f>
        <v>113.434</v>
      </c>
      <c r="J129">
        <v>38.183999999999997</v>
      </c>
      <c r="K129">
        <f>(1.783+2.054+1.837)/3</f>
        <v>1.8913333333333331</v>
      </c>
      <c r="L129" s="8">
        <v>1</v>
      </c>
      <c r="M129" s="8" t="s">
        <v>454</v>
      </c>
      <c r="N129" s="14">
        <v>0</v>
      </c>
      <c r="Q129" s="5" t="s">
        <v>751</v>
      </c>
      <c r="R129">
        <f>AVERAGE($I$501:$I$527)</f>
        <v>115.9993703703704</v>
      </c>
      <c r="S129">
        <f>AVERAGE($I$528:$I$680)</f>
        <v>106.42973856209153</v>
      </c>
      <c r="T129">
        <f>AVERAGE($I$681:$I$763)</f>
        <v>87.92925301204815</v>
      </c>
    </row>
    <row r="130" spans="1:20" x14ac:dyDescent="0.25">
      <c r="A130" t="s">
        <v>92</v>
      </c>
      <c r="B130" t="s">
        <v>163</v>
      </c>
      <c r="D130" t="s">
        <v>751</v>
      </c>
      <c r="E130">
        <v>14</v>
      </c>
      <c r="F130" t="s">
        <v>106</v>
      </c>
      <c r="G130" s="6">
        <v>3</v>
      </c>
      <c r="H130">
        <v>4</v>
      </c>
      <c r="I130">
        <f>70.531+21.674+33.242</f>
        <v>125.447</v>
      </c>
      <c r="J130">
        <v>22.79</v>
      </c>
      <c r="K130">
        <f>(3.372+1.904+2.005)/3</f>
        <v>2.427</v>
      </c>
      <c r="L130" s="8">
        <v>2</v>
      </c>
      <c r="M130" s="8" t="s">
        <v>454</v>
      </c>
      <c r="N130" s="14">
        <v>0</v>
      </c>
      <c r="Q130" s="5" t="s">
        <v>753</v>
      </c>
      <c r="R130">
        <f>STDEV($I$501:$I$527)/SQRT(COUNT($I$501:$I$527))</f>
        <v>6.5975726830489805</v>
      </c>
      <c r="S130">
        <f>STDEV($I$528:$I$680)/SQRT(COUNT($I$528:$I$680))</f>
        <v>3.1677702203687312</v>
      </c>
      <c r="T130">
        <f>STDEV($I$681:$I$763)/SQRT(COUNT($I$681:$I$763))</f>
        <v>4.1085888072098973</v>
      </c>
    </row>
    <row r="131" spans="1:20" x14ac:dyDescent="0.25">
      <c r="A131" t="s">
        <v>92</v>
      </c>
      <c r="B131" t="s">
        <v>163</v>
      </c>
      <c r="D131" t="s">
        <v>751</v>
      </c>
      <c r="E131">
        <v>16</v>
      </c>
      <c r="F131" t="s">
        <v>108</v>
      </c>
      <c r="G131" s="6">
        <v>3</v>
      </c>
      <c r="H131">
        <v>4</v>
      </c>
      <c r="I131">
        <f>39.396+44.855</f>
        <v>84.251000000000005</v>
      </c>
      <c r="J131">
        <v>13.179</v>
      </c>
      <c r="K131">
        <f>(4.593+2.4)/2</f>
        <v>3.4965000000000002</v>
      </c>
      <c r="L131" s="8">
        <v>1</v>
      </c>
      <c r="M131" s="8" t="s">
        <v>454</v>
      </c>
      <c r="N131" s="14">
        <v>0</v>
      </c>
      <c r="O131" s="1" t="s">
        <v>176</v>
      </c>
      <c r="Q131" s="5" t="s">
        <v>186</v>
      </c>
      <c r="R131">
        <f>AVERAGE($I$110:$I$170)</f>
        <v>92.923295081967225</v>
      </c>
      <c r="S131">
        <f>AVERAGE($I$171:$I$355)</f>
        <v>87.156599999999997</v>
      </c>
      <c r="T131">
        <f>AVERAGE($I$356:$I$500)</f>
        <v>90.68637931034479</v>
      </c>
    </row>
    <row r="132" spans="1:20" x14ac:dyDescent="0.25">
      <c r="A132" t="s">
        <v>92</v>
      </c>
      <c r="B132" t="s">
        <v>163</v>
      </c>
      <c r="D132" t="s">
        <v>751</v>
      </c>
      <c r="E132">
        <v>19</v>
      </c>
      <c r="F132" t="s">
        <v>111</v>
      </c>
      <c r="G132" s="6">
        <v>3</v>
      </c>
      <c r="H132">
        <v>4</v>
      </c>
      <c r="I132">
        <f>105.762+20.41</f>
        <v>126.172</v>
      </c>
      <c r="J132">
        <v>10.353999999999999</v>
      </c>
      <c r="K132">
        <f>(2.836+2.54)/2</f>
        <v>2.6879999999999997</v>
      </c>
      <c r="L132" s="8">
        <v>1</v>
      </c>
      <c r="M132" s="8" t="s">
        <v>451</v>
      </c>
      <c r="N132" s="14">
        <v>10.308999999999999</v>
      </c>
      <c r="Q132" s="5" t="s">
        <v>187</v>
      </c>
      <c r="R132">
        <f>STDEV($I$110:$I$170,$I$501:$I$527)/SQRT(COUNT($I$110:$I$170,$I$501:$I$527))</f>
        <v>3.7740477480239893</v>
      </c>
      <c r="S132">
        <f>STDEV($I$171:$I$355,$I$528:$I$680)/SQRT(COUNT($I$171:$I$355,$I$528:$I$680))</f>
        <v>2.0116843172611865</v>
      </c>
      <c r="T132">
        <f>STDEV($I$356:$I$500,$I$681:$I$763)/SQRT(COUNT($I$356:$I$500,$I$681:$I$763))</f>
        <v>2.8072633622844716</v>
      </c>
    </row>
    <row r="133" spans="1:20" x14ac:dyDescent="0.25">
      <c r="A133" t="s">
        <v>192</v>
      </c>
      <c r="B133" t="s">
        <v>745</v>
      </c>
      <c r="C133" t="s">
        <v>748</v>
      </c>
      <c r="D133" t="s">
        <v>749</v>
      </c>
      <c r="E133">
        <v>1</v>
      </c>
      <c r="F133" t="s">
        <v>195</v>
      </c>
      <c r="G133" s="6">
        <v>3</v>
      </c>
      <c r="H133">
        <v>4</v>
      </c>
      <c r="I133">
        <f>57.977+34.931</f>
        <v>92.907999999999987</v>
      </c>
      <c r="J133">
        <v>23.491</v>
      </c>
      <c r="K133">
        <f>(2.763+4.308)/2</f>
        <v>3.5354999999999999</v>
      </c>
      <c r="L133" s="8">
        <v>1</v>
      </c>
      <c r="M133" s="8" t="s">
        <v>454</v>
      </c>
      <c r="N133" s="14">
        <v>0</v>
      </c>
      <c r="P133" t="s">
        <v>194</v>
      </c>
    </row>
    <row r="134" spans="1:20" x14ac:dyDescent="0.25">
      <c r="A134" t="s">
        <v>192</v>
      </c>
      <c r="B134" t="s">
        <v>745</v>
      </c>
      <c r="C134" t="s">
        <v>748</v>
      </c>
      <c r="D134" t="s">
        <v>749</v>
      </c>
      <c r="E134">
        <v>2</v>
      </c>
      <c r="F134" t="s">
        <v>196</v>
      </c>
      <c r="G134" s="6">
        <v>3</v>
      </c>
      <c r="H134">
        <v>3</v>
      </c>
      <c r="I134">
        <f>92.536+18.356</f>
        <v>110.892</v>
      </c>
      <c r="J134">
        <v>37.695</v>
      </c>
      <c r="K134">
        <f>(2.102+3.29)/2</f>
        <v>2.6959999999999997</v>
      </c>
      <c r="L134" s="8">
        <v>1</v>
      </c>
      <c r="M134" s="8" t="s">
        <v>451</v>
      </c>
      <c r="N134" s="14">
        <v>15.853999999999999</v>
      </c>
      <c r="Q134" s="5" t="s">
        <v>749</v>
      </c>
      <c r="R134">
        <f>AVERAGE($K$110:$K$170)</f>
        <v>2.9898937158469949</v>
      </c>
      <c r="S134">
        <f>AVERAGE($K$171:$K$355)</f>
        <v>3.4390531531531532</v>
      </c>
      <c r="T134">
        <f>AVERAGE($K$356:$K$500)</f>
        <v>3.6474459770114929</v>
      </c>
    </row>
    <row r="135" spans="1:20" x14ac:dyDescent="0.25">
      <c r="A135" t="s">
        <v>192</v>
      </c>
      <c r="B135" t="s">
        <v>745</v>
      </c>
      <c r="C135" t="s">
        <v>748</v>
      </c>
      <c r="D135" t="s">
        <v>749</v>
      </c>
      <c r="E135">
        <v>3</v>
      </c>
      <c r="F135" t="s">
        <v>197</v>
      </c>
      <c r="G135" s="6">
        <v>3</v>
      </c>
      <c r="H135">
        <v>3</v>
      </c>
      <c r="I135">
        <f>82.712+15.215+31.795</f>
        <v>129.72200000000001</v>
      </c>
      <c r="J135">
        <v>44.137999999999998</v>
      </c>
      <c r="K135">
        <f>(1.931+1.329)/2</f>
        <v>1.63</v>
      </c>
      <c r="L135" s="8">
        <v>2</v>
      </c>
      <c r="M135" s="8" t="s">
        <v>454</v>
      </c>
      <c r="N135" s="14">
        <v>0</v>
      </c>
      <c r="Q135" s="5" t="s">
        <v>752</v>
      </c>
      <c r="R135">
        <f>STDEV($K$110:$K$170)/SQRT(COUNT($K$110:$K$170))</f>
        <v>0.16254383811100712</v>
      </c>
      <c r="S135">
        <f>STDEV($K$171:$K$355)/SQRT(COUNT($K$171:$K$355))</f>
        <v>0.1405636973407049</v>
      </c>
      <c r="T135">
        <f>STDEV($K$356:$K$500)/SQRT(COUNT($K$356:$K$500))</f>
        <v>0.19434540865052552</v>
      </c>
    </row>
    <row r="136" spans="1:20" x14ac:dyDescent="0.25">
      <c r="A136" t="s">
        <v>192</v>
      </c>
      <c r="B136" t="s">
        <v>745</v>
      </c>
      <c r="C136" t="s">
        <v>748</v>
      </c>
      <c r="D136" t="s">
        <v>749</v>
      </c>
      <c r="E136">
        <v>4</v>
      </c>
      <c r="F136" t="s">
        <v>198</v>
      </c>
      <c r="G136" s="6">
        <v>3</v>
      </c>
      <c r="H136">
        <v>4</v>
      </c>
      <c r="I136">
        <f>150.277+16.738</f>
        <v>167.01499999999999</v>
      </c>
      <c r="J136">
        <v>24.221</v>
      </c>
      <c r="K136">
        <f>(3.445+2.96)/2</f>
        <v>3.2024999999999997</v>
      </c>
      <c r="L136" s="8">
        <v>1</v>
      </c>
      <c r="M136" s="8" t="s">
        <v>451</v>
      </c>
      <c r="N136" s="14">
        <v>2.746</v>
      </c>
    </row>
    <row r="137" spans="1:20" x14ac:dyDescent="0.25">
      <c r="A137" t="s">
        <v>192</v>
      </c>
      <c r="B137" t="s">
        <v>745</v>
      </c>
      <c r="C137" t="s">
        <v>748</v>
      </c>
      <c r="D137" t="s">
        <v>749</v>
      </c>
      <c r="E137">
        <v>5</v>
      </c>
      <c r="F137" t="s">
        <v>199</v>
      </c>
      <c r="G137" s="6">
        <v>3</v>
      </c>
      <c r="H137">
        <v>3</v>
      </c>
      <c r="I137">
        <f>60.082+27.462</f>
        <v>87.543999999999997</v>
      </c>
      <c r="J137">
        <v>43.244</v>
      </c>
      <c r="K137">
        <f>(2.629+3.043)/2</f>
        <v>2.8360000000000003</v>
      </c>
      <c r="L137" s="8">
        <v>1</v>
      </c>
      <c r="M137" s="8" t="s">
        <v>451</v>
      </c>
      <c r="N137" s="14">
        <v>15.129</v>
      </c>
      <c r="Q137" s="5" t="s">
        <v>751</v>
      </c>
      <c r="R137">
        <f>AVERAGE($K$501:$K$527)</f>
        <v>2.2913703703703705</v>
      </c>
      <c r="S137">
        <f>AVERAGE($K$528:$K$680)</f>
        <v>3.2734618736383423</v>
      </c>
      <c r="T137">
        <f>AVERAGE($K$681:$K$763)</f>
        <v>3.5474397590361431</v>
      </c>
    </row>
    <row r="138" spans="1:20" x14ac:dyDescent="0.25">
      <c r="A138" t="s">
        <v>192</v>
      </c>
      <c r="B138" t="s">
        <v>745</v>
      </c>
      <c r="C138" t="s">
        <v>748</v>
      </c>
      <c r="D138" t="s">
        <v>749</v>
      </c>
      <c r="E138">
        <v>6</v>
      </c>
      <c r="F138" t="s">
        <v>200</v>
      </c>
      <c r="G138" s="6">
        <v>3</v>
      </c>
      <c r="H138">
        <v>4</v>
      </c>
      <c r="I138">
        <f>90.563+39.01</f>
        <v>129.57300000000001</v>
      </c>
      <c r="J138">
        <v>27.555</v>
      </c>
      <c r="K138">
        <f>(2.418+2.395+3.361)/3</f>
        <v>2.7246666666666672</v>
      </c>
      <c r="L138" s="8">
        <v>1</v>
      </c>
      <c r="M138" s="8" t="s">
        <v>454</v>
      </c>
      <c r="N138" s="14">
        <v>0</v>
      </c>
    </row>
    <row r="139" spans="1:20" x14ac:dyDescent="0.25">
      <c r="A139" t="s">
        <v>192</v>
      </c>
      <c r="B139" t="s">
        <v>745</v>
      </c>
      <c r="C139" t="s">
        <v>748</v>
      </c>
      <c r="D139" t="s">
        <v>749</v>
      </c>
      <c r="E139">
        <v>7</v>
      </c>
      <c r="F139" t="s">
        <v>201</v>
      </c>
      <c r="G139" s="6">
        <v>3</v>
      </c>
      <c r="H139">
        <v>3</v>
      </c>
      <c r="I139">
        <f>67.537+26.83+13.025</f>
        <v>107.39200000000001</v>
      </c>
      <c r="J139">
        <v>51.491999999999997</v>
      </c>
      <c r="K139">
        <f>(2.228+2.228+1.984)/3</f>
        <v>2.1466666666666669</v>
      </c>
      <c r="L139" s="8">
        <v>2</v>
      </c>
      <c r="M139" s="8" t="s">
        <v>454</v>
      </c>
      <c r="N139" s="14">
        <v>0</v>
      </c>
      <c r="Q139" s="5" t="s">
        <v>753</v>
      </c>
      <c r="R139">
        <f>STDEV($K$501:$K$527)/SQRT(COUNT($K$501:$K$527))</f>
        <v>9.0190032016104246E-2</v>
      </c>
      <c r="S139">
        <f>STDEV($K$528:$K$680)/SQRT(COUNT($K$528:$K$680))</f>
        <v>0.1453702039268879</v>
      </c>
      <c r="T139">
        <f>STDEV($K$681:$K$763)/SQRT(COUNT($K$681:$K$763))</f>
        <v>0.21455577106458745</v>
      </c>
    </row>
    <row r="140" spans="1:20" x14ac:dyDescent="0.25">
      <c r="A140" t="s">
        <v>192</v>
      </c>
      <c r="B140" t="s">
        <v>745</v>
      </c>
      <c r="C140" t="s">
        <v>748</v>
      </c>
      <c r="D140" t="s">
        <v>749</v>
      </c>
      <c r="E140">
        <v>8</v>
      </c>
      <c r="F140" t="s">
        <v>202</v>
      </c>
      <c r="G140" s="6">
        <v>3</v>
      </c>
      <c r="H140">
        <v>4</v>
      </c>
      <c r="I140">
        <f>76.928+24.176</f>
        <v>101.104</v>
      </c>
      <c r="J140">
        <v>34.070999999999998</v>
      </c>
      <c r="K140">
        <f>(2.064+1.891)/2</f>
        <v>1.9775</v>
      </c>
      <c r="L140" s="8">
        <v>1</v>
      </c>
      <c r="M140" s="8" t="s">
        <v>451</v>
      </c>
      <c r="N140" s="14">
        <v>2.3250000000000002</v>
      </c>
      <c r="O140" s="1" t="s">
        <v>158</v>
      </c>
    </row>
    <row r="141" spans="1:20" x14ac:dyDescent="0.25">
      <c r="A141" t="s">
        <v>192</v>
      </c>
      <c r="B141" t="s">
        <v>745</v>
      </c>
      <c r="C141" t="s">
        <v>748</v>
      </c>
      <c r="D141" t="s">
        <v>749</v>
      </c>
      <c r="E141">
        <v>9</v>
      </c>
      <c r="F141" t="s">
        <v>203</v>
      </c>
      <c r="G141" s="6">
        <v>3</v>
      </c>
      <c r="H141">
        <v>4</v>
      </c>
      <c r="I141">
        <f>73.437+57.956+30.958</f>
        <v>162.351</v>
      </c>
      <c r="J141">
        <v>27.6</v>
      </c>
      <c r="K141">
        <f>(2.35+3.19+1.027+2.045+1.701)/5</f>
        <v>2.0626000000000002</v>
      </c>
      <c r="L141" s="8">
        <v>3</v>
      </c>
      <c r="M141" s="8" t="s">
        <v>454</v>
      </c>
      <c r="N141" s="14">
        <v>0</v>
      </c>
    </row>
    <row r="142" spans="1:20" x14ac:dyDescent="0.25">
      <c r="A142" t="s">
        <v>192</v>
      </c>
      <c r="B142" t="s">
        <v>745</v>
      </c>
      <c r="C142" t="s">
        <v>748</v>
      </c>
      <c r="D142" t="s">
        <v>749</v>
      </c>
      <c r="E142">
        <v>10</v>
      </c>
      <c r="F142" t="s">
        <v>204</v>
      </c>
      <c r="G142" s="6">
        <v>3</v>
      </c>
      <c r="H142">
        <v>4</v>
      </c>
      <c r="I142">
        <f>67.275+11.833</f>
        <v>79.108000000000004</v>
      </c>
      <c r="J142">
        <v>29.186</v>
      </c>
      <c r="K142">
        <f>(1.499+2.785+2.95)/3</f>
        <v>2.4113333333333338</v>
      </c>
      <c r="L142" s="8">
        <v>1</v>
      </c>
      <c r="M142" s="8" t="s">
        <v>454</v>
      </c>
      <c r="N142" s="14">
        <v>0</v>
      </c>
    </row>
    <row r="143" spans="1:20" x14ac:dyDescent="0.25">
      <c r="A143" t="s">
        <v>192</v>
      </c>
      <c r="B143" t="s">
        <v>745</v>
      </c>
      <c r="C143" t="s">
        <v>748</v>
      </c>
      <c r="D143" t="s">
        <v>749</v>
      </c>
      <c r="E143">
        <v>11</v>
      </c>
      <c r="F143" t="s">
        <v>205</v>
      </c>
      <c r="G143" s="6">
        <v>3</v>
      </c>
      <c r="H143">
        <v>3</v>
      </c>
      <c r="I143">
        <f>57.566+4.221</f>
        <v>61.787000000000006</v>
      </c>
      <c r="J143">
        <v>57.997999999999998</v>
      </c>
      <c r="K143">
        <f>(2.193+2.986)/2</f>
        <v>2.5895000000000001</v>
      </c>
      <c r="L143" s="8">
        <v>1</v>
      </c>
      <c r="M143" s="8" t="s">
        <v>454</v>
      </c>
      <c r="N143" s="14">
        <v>0</v>
      </c>
      <c r="Q143" s="5" t="s">
        <v>186</v>
      </c>
      <c r="R143">
        <f>AVERAGE($K$110:$K$170)</f>
        <v>2.9898937158469949</v>
      </c>
      <c r="S143">
        <f>AVERAGE($K$171:$K$355)</f>
        <v>3.4390531531531532</v>
      </c>
      <c r="T143">
        <f>AVERAGE($K$356:$K$500)</f>
        <v>3.6474459770114929</v>
      </c>
    </row>
    <row r="144" spans="1:20" x14ac:dyDescent="0.25">
      <c r="A144" t="s">
        <v>192</v>
      </c>
      <c r="B144" t="s">
        <v>745</v>
      </c>
      <c r="C144" t="s">
        <v>748</v>
      </c>
      <c r="D144" t="s">
        <v>749</v>
      </c>
      <c r="E144">
        <v>12</v>
      </c>
      <c r="F144" t="s">
        <v>206</v>
      </c>
      <c r="G144" s="6">
        <v>3</v>
      </c>
      <c r="H144">
        <v>3</v>
      </c>
      <c r="I144">
        <v>54.667999999999999</v>
      </c>
      <c r="J144">
        <v>51.670999999999999</v>
      </c>
      <c r="K144">
        <f>(9.443+6.91)/2</f>
        <v>8.1765000000000008</v>
      </c>
      <c r="L144" s="8">
        <v>1</v>
      </c>
      <c r="M144" s="8" t="s">
        <v>454</v>
      </c>
      <c r="N144" s="14">
        <v>0</v>
      </c>
      <c r="Q144" s="5" t="s">
        <v>187</v>
      </c>
      <c r="R144">
        <f>STDEV($K$110:$K$170,$K$501:$K$527)/SQRT(COUNT($K$110:$K$170,$K$501:$K$527))</f>
        <v>0.12070273262621053</v>
      </c>
      <c r="S144">
        <f>STDEV($K$171:$K$355,$K$528:$K$680)/SQRT(COUNT($K$171:$K$355,$K$528:$K$680))</f>
        <v>0.10118957450001748</v>
      </c>
      <c r="T144">
        <f>STDEV($K$356:$K$500,$K$681:$K$763)/SQRT(COUNT($K$356:$K$500,$K$681:$K$763))</f>
        <v>0.14595010781983631</v>
      </c>
    </row>
    <row r="145" spans="1:20" x14ac:dyDescent="0.25">
      <c r="A145" t="s">
        <v>192</v>
      </c>
      <c r="B145" t="s">
        <v>745</v>
      </c>
      <c r="C145" t="s">
        <v>748</v>
      </c>
      <c r="D145" t="s">
        <v>749</v>
      </c>
      <c r="E145">
        <v>13</v>
      </c>
      <c r="F145" t="s">
        <v>207</v>
      </c>
      <c r="G145" s="6">
        <v>3</v>
      </c>
      <c r="H145">
        <v>3</v>
      </c>
      <c r="I145">
        <f>65.257+18.426</f>
        <v>83.683000000000007</v>
      </c>
      <c r="J145">
        <v>41.765999999999998</v>
      </c>
      <c r="K145">
        <f>(4.466+3.338)/2</f>
        <v>3.9020000000000001</v>
      </c>
      <c r="L145" s="8">
        <v>1</v>
      </c>
      <c r="M145" s="8" t="s">
        <v>451</v>
      </c>
      <c r="N145" s="14">
        <v>10.773999999999999</v>
      </c>
    </row>
    <row r="146" spans="1:20" x14ac:dyDescent="0.25">
      <c r="A146" t="s">
        <v>192</v>
      </c>
      <c r="B146" t="s">
        <v>745</v>
      </c>
      <c r="C146" t="s">
        <v>748</v>
      </c>
      <c r="D146" t="s">
        <v>749</v>
      </c>
      <c r="E146">
        <v>14</v>
      </c>
      <c r="F146" t="s">
        <v>208</v>
      </c>
      <c r="G146" s="6">
        <v>3</v>
      </c>
      <c r="H146">
        <v>3</v>
      </c>
      <c r="I146">
        <f>58.787+46.23</f>
        <v>105.017</v>
      </c>
      <c r="J146">
        <v>35.866</v>
      </c>
      <c r="K146">
        <f>(4+3.899)/2</f>
        <v>3.9495</v>
      </c>
      <c r="L146" s="8">
        <v>0</v>
      </c>
      <c r="M146" s="8" t="s">
        <v>451</v>
      </c>
      <c r="N146" s="14" t="s">
        <v>452</v>
      </c>
      <c r="O146" s="1" t="s">
        <v>209</v>
      </c>
      <c r="Q146" s="5" t="s">
        <v>191</v>
      </c>
      <c r="R146" s="2">
        <v>2</v>
      </c>
      <c r="S146" s="2">
        <v>3</v>
      </c>
      <c r="T146" s="2">
        <v>4</v>
      </c>
    </row>
    <row r="147" spans="1:20" x14ac:dyDescent="0.25">
      <c r="A147" t="s">
        <v>192</v>
      </c>
      <c r="B147" t="s">
        <v>745</v>
      </c>
      <c r="C147" t="s">
        <v>748</v>
      </c>
      <c r="D147" t="s">
        <v>749</v>
      </c>
      <c r="E147">
        <v>15</v>
      </c>
      <c r="F147" t="s">
        <v>210</v>
      </c>
      <c r="G147" s="6">
        <v>3</v>
      </c>
      <c r="H147">
        <v>4</v>
      </c>
      <c r="I147">
        <v>75.239000000000004</v>
      </c>
      <c r="J147">
        <v>27.372</v>
      </c>
      <c r="K147">
        <f>(2.142+2.869)/2</f>
        <v>2.5055000000000001</v>
      </c>
      <c r="L147" s="8">
        <v>0</v>
      </c>
      <c r="M147" s="8" t="s">
        <v>451</v>
      </c>
      <c r="N147" s="14" t="s">
        <v>452</v>
      </c>
    </row>
    <row r="148" spans="1:20" x14ac:dyDescent="0.25">
      <c r="A148" t="s">
        <v>192</v>
      </c>
      <c r="B148" t="s">
        <v>745</v>
      </c>
      <c r="C148" t="s">
        <v>748</v>
      </c>
      <c r="D148" t="s">
        <v>749</v>
      </c>
      <c r="E148">
        <v>16</v>
      </c>
      <c r="F148" t="s">
        <v>211</v>
      </c>
      <c r="G148" s="6">
        <v>3</v>
      </c>
      <c r="H148">
        <v>4</v>
      </c>
      <c r="I148">
        <f>134.165+25.965</f>
        <v>160.13</v>
      </c>
      <c r="J148">
        <v>28.25</v>
      </c>
      <c r="K148">
        <f>(1.993+2.369+1.136+1.427)/4</f>
        <v>1.7312500000000002</v>
      </c>
      <c r="L148" s="8">
        <v>3</v>
      </c>
      <c r="M148" s="8" t="s">
        <v>454</v>
      </c>
      <c r="N148" s="14">
        <v>0</v>
      </c>
    </row>
    <row r="149" spans="1:20" x14ac:dyDescent="0.25">
      <c r="A149" t="s">
        <v>192</v>
      </c>
      <c r="B149" t="s">
        <v>745</v>
      </c>
      <c r="C149" t="s">
        <v>748</v>
      </c>
      <c r="D149" t="s">
        <v>749</v>
      </c>
      <c r="E149">
        <v>17</v>
      </c>
      <c r="F149" t="s">
        <v>212</v>
      </c>
      <c r="G149" s="6">
        <v>3</v>
      </c>
      <c r="H149">
        <v>4</v>
      </c>
      <c r="I149">
        <f>72.519+16.154</f>
        <v>88.673000000000002</v>
      </c>
      <c r="J149">
        <v>21.573</v>
      </c>
      <c r="K149">
        <f>(1.931+2.381+1.694)/3</f>
        <v>2.0019999999999998</v>
      </c>
      <c r="L149" s="8">
        <v>1</v>
      </c>
      <c r="M149" s="8" t="s">
        <v>454</v>
      </c>
      <c r="N149" s="14">
        <v>0</v>
      </c>
    </row>
    <row r="150" spans="1:20" x14ac:dyDescent="0.25">
      <c r="A150" t="s">
        <v>192</v>
      </c>
      <c r="B150" t="s">
        <v>745</v>
      </c>
      <c r="C150" t="s">
        <v>748</v>
      </c>
      <c r="D150" t="s">
        <v>749</v>
      </c>
      <c r="E150">
        <v>18</v>
      </c>
      <c r="F150" t="s">
        <v>213</v>
      </c>
      <c r="G150" s="6">
        <v>3</v>
      </c>
      <c r="H150">
        <v>3</v>
      </c>
      <c r="I150">
        <v>55.046999999999997</v>
      </c>
      <c r="J150">
        <v>56.704999999999998</v>
      </c>
      <c r="K150">
        <f>(2.818+2.857)/2</f>
        <v>2.8375000000000004</v>
      </c>
      <c r="L150" s="8">
        <v>0</v>
      </c>
      <c r="M150" s="8" t="s">
        <v>451</v>
      </c>
      <c r="N150" s="14" t="s">
        <v>452</v>
      </c>
      <c r="Q150" s="5" t="s">
        <v>749</v>
      </c>
      <c r="R150">
        <f>AVERAGE($L$110:$L$170)</f>
        <v>0.95081967213114749</v>
      </c>
      <c r="S150">
        <f>AVERAGE($L$171:$L$355)</f>
        <v>0.86486486486486491</v>
      </c>
      <c r="T150">
        <f>AVERAGE($L$356:$L$500)</f>
        <v>1.1517241379310346</v>
      </c>
    </row>
    <row r="151" spans="1:20" x14ac:dyDescent="0.25">
      <c r="A151" t="s">
        <v>192</v>
      </c>
      <c r="B151" t="s">
        <v>745</v>
      </c>
      <c r="C151" t="s">
        <v>748</v>
      </c>
      <c r="D151" t="s">
        <v>749</v>
      </c>
      <c r="E151">
        <v>19</v>
      </c>
      <c r="F151" t="s">
        <v>214</v>
      </c>
      <c r="G151" s="6">
        <v>3</v>
      </c>
      <c r="H151">
        <v>3</v>
      </c>
      <c r="I151">
        <v>103.49</v>
      </c>
      <c r="J151">
        <v>45.45</v>
      </c>
      <c r="K151">
        <f>(1.56+2.905)/2</f>
        <v>2.2324999999999999</v>
      </c>
      <c r="L151" s="8">
        <v>1</v>
      </c>
      <c r="M151" s="8" t="s">
        <v>451</v>
      </c>
      <c r="N151" s="14">
        <v>10.906000000000001</v>
      </c>
      <c r="Q151" s="5" t="s">
        <v>752</v>
      </c>
      <c r="R151">
        <f>STDEV($L$110:$L$170)/SQRT(COUNT($L$110:$L$170))</f>
        <v>0.11787329844096754</v>
      </c>
      <c r="S151">
        <f>STDEV($L$171:$L$355)/SQRT(COUNT($L$171:$L$355))</f>
        <v>6.2653248458087243E-2</v>
      </c>
      <c r="T151">
        <f>STDEV($L$356:$L$500)/SQRT(COUNT($L$356:$L$500))</f>
        <v>8.149173998687223E-2</v>
      </c>
    </row>
    <row r="152" spans="1:20" x14ac:dyDescent="0.25">
      <c r="A152" s="16" t="s">
        <v>192</v>
      </c>
      <c r="B152" s="16" t="s">
        <v>745</v>
      </c>
      <c r="C152" s="16" t="s">
        <v>748</v>
      </c>
      <c r="D152" s="16" t="s">
        <v>749</v>
      </c>
      <c r="E152" s="16">
        <v>20</v>
      </c>
      <c r="F152" s="16" t="s">
        <v>215</v>
      </c>
      <c r="G152" s="27">
        <v>3</v>
      </c>
      <c r="H152" s="16">
        <v>4</v>
      </c>
      <c r="I152" s="16">
        <v>111.301</v>
      </c>
      <c r="J152" s="16">
        <v>30.718</v>
      </c>
      <c r="K152" s="16">
        <f>(1.694+1.807)/2</f>
        <v>1.7504999999999999</v>
      </c>
      <c r="L152" s="17">
        <v>1</v>
      </c>
      <c r="M152" s="17" t="s">
        <v>454</v>
      </c>
      <c r="N152" s="18">
        <v>0</v>
      </c>
      <c r="O152" s="19"/>
      <c r="P152" s="16"/>
    </row>
    <row r="153" spans="1:20" x14ac:dyDescent="0.25">
      <c r="A153" t="s">
        <v>192</v>
      </c>
      <c r="B153" t="s">
        <v>745</v>
      </c>
      <c r="C153" t="s">
        <v>748</v>
      </c>
      <c r="D153" t="s">
        <v>749</v>
      </c>
      <c r="E153">
        <v>21</v>
      </c>
      <c r="F153" t="s">
        <v>216</v>
      </c>
      <c r="G153" s="28">
        <v>3</v>
      </c>
      <c r="H153">
        <v>3</v>
      </c>
      <c r="I153">
        <f>57.536+19.456</f>
        <v>76.992000000000004</v>
      </c>
      <c r="J153">
        <v>48.015000000000001</v>
      </c>
      <c r="K153">
        <f>(3.207+1.198+2.02)/3</f>
        <v>2.1416666666666662</v>
      </c>
      <c r="L153" s="8">
        <v>1</v>
      </c>
      <c r="M153" s="8" t="s">
        <v>454</v>
      </c>
      <c r="N153" s="14">
        <v>0</v>
      </c>
      <c r="Q153" s="5" t="s">
        <v>751</v>
      </c>
      <c r="R153">
        <f>AVERAGE($L$501:$L$527)</f>
        <v>1.2962962962962963</v>
      </c>
      <c r="S153">
        <f>AVERAGE($L$528:$L$680)</f>
        <v>1.1764705882352942</v>
      </c>
      <c r="T153">
        <f>AVERAGE($L$681:$L$763)</f>
        <v>0.90361445783132532</v>
      </c>
    </row>
    <row r="154" spans="1:20" x14ac:dyDescent="0.25">
      <c r="A154" t="s">
        <v>192</v>
      </c>
      <c r="B154" t="s">
        <v>745</v>
      </c>
      <c r="C154" t="s">
        <v>748</v>
      </c>
      <c r="D154" t="s">
        <v>749</v>
      </c>
      <c r="E154">
        <v>22</v>
      </c>
      <c r="F154" t="s">
        <v>217</v>
      </c>
      <c r="G154" s="28">
        <v>3</v>
      </c>
      <c r="H154">
        <v>3</v>
      </c>
      <c r="I154">
        <f>46.937+19.135</f>
        <v>66.072000000000003</v>
      </c>
      <c r="J154">
        <v>62.079000000000001</v>
      </c>
      <c r="K154">
        <f>(3.703+2.591+2.152)/3</f>
        <v>2.8153333333333337</v>
      </c>
      <c r="L154" s="8">
        <v>1</v>
      </c>
      <c r="M154" s="8" t="s">
        <v>454</v>
      </c>
      <c r="N154" s="14">
        <v>0</v>
      </c>
      <c r="Q154" s="5" t="s">
        <v>753</v>
      </c>
      <c r="R154">
        <f>STDEV($L$501:$L$527)/SQRT(COUNT($I$501:$I$527))</f>
        <v>0.15847218216721798</v>
      </c>
      <c r="S154">
        <f>STDEV($L$528:$L$680)/SQRT(COUNT($L$528:$L$680))</f>
        <v>6.6948351663088018E-2</v>
      </c>
      <c r="T154">
        <f>STDEV($L$681:$L$763)/SQRT(COUNT($L$681:$L$763))</f>
        <v>9.9387571957916684E-2</v>
      </c>
    </row>
    <row r="155" spans="1:20" x14ac:dyDescent="0.25">
      <c r="A155" t="s">
        <v>192</v>
      </c>
      <c r="B155" t="s">
        <v>745</v>
      </c>
      <c r="C155" t="s">
        <v>748</v>
      </c>
      <c r="D155" t="s">
        <v>749</v>
      </c>
      <c r="E155">
        <v>23</v>
      </c>
      <c r="F155" t="s">
        <v>218</v>
      </c>
      <c r="G155" s="28">
        <v>3</v>
      </c>
      <c r="H155">
        <v>4</v>
      </c>
      <c r="I155">
        <f>72.875+37.101</f>
        <v>109.976</v>
      </c>
      <c r="J155">
        <v>30.742999999999999</v>
      </c>
      <c r="K155">
        <f>(2.349+1.732+3.148)/3</f>
        <v>2.4096666666666668</v>
      </c>
      <c r="L155" s="8">
        <v>1</v>
      </c>
      <c r="M155" s="8" t="s">
        <v>454</v>
      </c>
      <c r="N155" s="14">
        <v>0</v>
      </c>
    </row>
    <row r="156" spans="1:20" x14ac:dyDescent="0.25">
      <c r="A156" t="s">
        <v>192</v>
      </c>
      <c r="B156" t="s">
        <v>745</v>
      </c>
      <c r="C156" t="s">
        <v>748</v>
      </c>
      <c r="D156" t="s">
        <v>749</v>
      </c>
      <c r="E156">
        <v>24</v>
      </c>
      <c r="F156" t="s">
        <v>219</v>
      </c>
      <c r="G156" s="28">
        <v>3</v>
      </c>
      <c r="H156">
        <v>3</v>
      </c>
      <c r="I156">
        <f>79.186+22.729</f>
        <v>101.91500000000001</v>
      </c>
      <c r="J156">
        <v>66.778000000000006</v>
      </c>
      <c r="K156">
        <f>(4.119+1.783+4.389)/3</f>
        <v>3.4303333333333335</v>
      </c>
      <c r="L156" s="8">
        <v>1</v>
      </c>
      <c r="M156" s="8" t="s">
        <v>454</v>
      </c>
      <c r="N156" s="14">
        <v>0</v>
      </c>
      <c r="Q156" s="5" t="s">
        <v>186</v>
      </c>
      <c r="R156">
        <f>AVERAGE($L$110:$L$170)</f>
        <v>0.95081967213114749</v>
      </c>
      <c r="S156">
        <f>AVERAGE($L$171:$L$355)</f>
        <v>0.86486486486486491</v>
      </c>
      <c r="T156">
        <f>AVERAGE($L$356:$L$500)</f>
        <v>1.1517241379310346</v>
      </c>
    </row>
    <row r="157" spans="1:20" x14ac:dyDescent="0.25">
      <c r="A157" t="s">
        <v>192</v>
      </c>
      <c r="B157" t="s">
        <v>745</v>
      </c>
      <c r="C157" t="s">
        <v>748</v>
      </c>
      <c r="D157" t="s">
        <v>749</v>
      </c>
      <c r="E157">
        <v>25</v>
      </c>
      <c r="F157" t="s">
        <v>220</v>
      </c>
      <c r="G157" s="28">
        <v>3</v>
      </c>
      <c r="H157">
        <v>3</v>
      </c>
      <c r="I157">
        <v>84.787999999999997</v>
      </c>
      <c r="J157">
        <v>54.317999999999998</v>
      </c>
      <c r="K157">
        <f>(2.822+2.127)/2</f>
        <v>2.4744999999999999</v>
      </c>
      <c r="L157" s="8">
        <v>1</v>
      </c>
      <c r="M157" s="8" t="s">
        <v>454</v>
      </c>
      <c r="N157" s="14">
        <v>0</v>
      </c>
      <c r="Q157" s="5" t="s">
        <v>187</v>
      </c>
      <c r="R157">
        <f>STDEV($L$110:$L$170,$L$501:$L$527)/SQRT(COUNT($L$110:$L$170,$L$501:$L$527))</f>
        <v>9.6107571198939812E-2</v>
      </c>
      <c r="S157">
        <f>STDEV($L$171:$L$355,$L$528:$L$680)/SQRT(COUNT($L$171:$L$355,$L$528:$L$680))</f>
        <v>4.6471191360163838E-2</v>
      </c>
      <c r="T157">
        <f>STDEV($L$356:$L$500,$L$681:$L$763)/SQRT(COUNT($L$356:$L$500,$L$681:$L$763))</f>
        <v>6.3568002392298956E-2</v>
      </c>
    </row>
    <row r="158" spans="1:20" x14ac:dyDescent="0.25">
      <c r="A158" t="s">
        <v>192</v>
      </c>
      <c r="B158" t="s">
        <v>745</v>
      </c>
      <c r="C158" t="s">
        <v>748</v>
      </c>
      <c r="D158" t="s">
        <v>749</v>
      </c>
      <c r="E158">
        <v>26</v>
      </c>
      <c r="F158" t="s">
        <v>221</v>
      </c>
      <c r="G158" s="28">
        <v>3</v>
      </c>
      <c r="H158">
        <v>4</v>
      </c>
      <c r="I158">
        <f>48.899+48.728</f>
        <v>97.62700000000001</v>
      </c>
      <c r="J158">
        <v>26.619</v>
      </c>
      <c r="K158">
        <f>(1.861+2.02)/2</f>
        <v>1.9405000000000001</v>
      </c>
      <c r="L158" s="8">
        <v>1</v>
      </c>
      <c r="M158" s="8" t="s">
        <v>451</v>
      </c>
      <c r="N158" s="14">
        <v>13.496</v>
      </c>
    </row>
    <row r="159" spans="1:20" x14ac:dyDescent="0.25">
      <c r="A159" t="s">
        <v>192</v>
      </c>
      <c r="B159" t="s">
        <v>745</v>
      </c>
      <c r="C159" t="s">
        <v>748</v>
      </c>
      <c r="D159" t="s">
        <v>749</v>
      </c>
      <c r="E159">
        <v>27</v>
      </c>
      <c r="F159" t="s">
        <v>222</v>
      </c>
      <c r="G159" s="28">
        <v>3</v>
      </c>
      <c r="H159">
        <v>4</v>
      </c>
      <c r="I159">
        <f>91.063+11.921+21.445+22.886+22.103+28.838</f>
        <v>198.256</v>
      </c>
      <c r="J159">
        <v>28.645</v>
      </c>
      <c r="K159">
        <f>(3.3675+3.523+2.818)/3</f>
        <v>3.2361666666666671</v>
      </c>
      <c r="L159" s="8">
        <v>5</v>
      </c>
      <c r="M159" s="8" t="s">
        <v>454</v>
      </c>
      <c r="N159" s="14">
        <v>0</v>
      </c>
    </row>
    <row r="160" spans="1:20" x14ac:dyDescent="0.25">
      <c r="A160" t="s">
        <v>192</v>
      </c>
      <c r="B160" t="s">
        <v>745</v>
      </c>
      <c r="C160" t="s">
        <v>748</v>
      </c>
      <c r="D160" t="s">
        <v>749</v>
      </c>
      <c r="E160">
        <v>28</v>
      </c>
      <c r="F160" t="s">
        <v>223</v>
      </c>
      <c r="G160" s="28">
        <v>3</v>
      </c>
      <c r="H160">
        <v>3</v>
      </c>
      <c r="I160">
        <f>71.629+23.858</f>
        <v>95.487000000000009</v>
      </c>
      <c r="J160">
        <v>52.5</v>
      </c>
      <c r="K160">
        <f>(2.53+1.931)/2</f>
        <v>2.2305000000000001</v>
      </c>
      <c r="L160" s="8">
        <v>1</v>
      </c>
      <c r="M160" s="8" t="s">
        <v>451</v>
      </c>
      <c r="N160" s="14">
        <v>23.664000000000001</v>
      </c>
    </row>
    <row r="161" spans="1:20" x14ac:dyDescent="0.25">
      <c r="A161" t="s">
        <v>192</v>
      </c>
      <c r="B161" t="s">
        <v>745</v>
      </c>
      <c r="C161" t="s">
        <v>748</v>
      </c>
      <c r="D161" t="s">
        <v>749</v>
      </c>
      <c r="E161">
        <v>29</v>
      </c>
      <c r="F161" t="s">
        <v>224</v>
      </c>
      <c r="G161" s="28">
        <v>3</v>
      </c>
      <c r="H161">
        <v>4</v>
      </c>
      <c r="I161">
        <v>96.316999999999993</v>
      </c>
      <c r="J161">
        <v>34.231999999999999</v>
      </c>
      <c r="K161">
        <f>(3.151+2.101)/2</f>
        <v>2.6259999999999999</v>
      </c>
      <c r="L161" s="8">
        <v>1</v>
      </c>
      <c r="M161" s="8" t="s">
        <v>451</v>
      </c>
      <c r="N161" s="14">
        <v>60.008000000000003</v>
      </c>
      <c r="O161" s="1" t="s">
        <v>158</v>
      </c>
    </row>
    <row r="162" spans="1:20" x14ac:dyDescent="0.25">
      <c r="A162" t="s">
        <v>192</v>
      </c>
      <c r="B162" t="s">
        <v>745</v>
      </c>
      <c r="C162" t="s">
        <v>748</v>
      </c>
      <c r="D162" t="s">
        <v>749</v>
      </c>
      <c r="E162">
        <v>30</v>
      </c>
      <c r="F162" t="s">
        <v>225</v>
      </c>
      <c r="G162" s="28">
        <v>3</v>
      </c>
      <c r="H162">
        <v>3</v>
      </c>
      <c r="I162">
        <f>47.945+19.775</f>
        <v>67.72</v>
      </c>
      <c r="J162">
        <v>42.287999999999997</v>
      </c>
      <c r="K162">
        <f>(1.879+1.493)/2</f>
        <v>1.6859999999999999</v>
      </c>
      <c r="L162" s="8">
        <v>2</v>
      </c>
      <c r="M162" s="8" t="s">
        <v>451</v>
      </c>
      <c r="N162" s="14">
        <v>6.343</v>
      </c>
    </row>
    <row r="163" spans="1:20" x14ac:dyDescent="0.25">
      <c r="A163" t="s">
        <v>192</v>
      </c>
      <c r="B163" t="s">
        <v>745</v>
      </c>
      <c r="C163" t="s">
        <v>748</v>
      </c>
      <c r="D163" t="s">
        <v>749</v>
      </c>
      <c r="E163">
        <v>31</v>
      </c>
      <c r="F163" t="s">
        <v>226</v>
      </c>
      <c r="G163" s="28">
        <v>3</v>
      </c>
      <c r="H163">
        <v>3</v>
      </c>
      <c r="I163">
        <v>70.804000000000002</v>
      </c>
      <c r="J163">
        <v>49.140999999999998</v>
      </c>
      <c r="K163">
        <f>(2.069+2.436+1.931)/3</f>
        <v>2.1453333333333333</v>
      </c>
      <c r="L163" s="8">
        <v>1</v>
      </c>
      <c r="M163" s="8" t="s">
        <v>454</v>
      </c>
      <c r="N163" s="14">
        <v>0</v>
      </c>
    </row>
    <row r="164" spans="1:20" x14ac:dyDescent="0.25">
      <c r="A164" t="s">
        <v>192</v>
      </c>
      <c r="B164" t="s">
        <v>745</v>
      </c>
      <c r="C164" t="s">
        <v>748</v>
      </c>
      <c r="D164" t="s">
        <v>749</v>
      </c>
      <c r="E164">
        <v>32</v>
      </c>
      <c r="F164" t="s">
        <v>227</v>
      </c>
      <c r="G164" s="28">
        <v>3</v>
      </c>
      <c r="H164">
        <v>3</v>
      </c>
      <c r="I164">
        <v>74.858000000000004</v>
      </c>
      <c r="J164">
        <v>67.626000000000005</v>
      </c>
      <c r="K164">
        <f>(2.54+2.228)/2</f>
        <v>2.3840000000000003</v>
      </c>
      <c r="L164" s="8">
        <v>0</v>
      </c>
      <c r="M164" s="8" t="s">
        <v>451</v>
      </c>
      <c r="N164" s="14" t="s">
        <v>452</v>
      </c>
    </row>
    <row r="165" spans="1:20" x14ac:dyDescent="0.25">
      <c r="A165" t="s">
        <v>192</v>
      </c>
      <c r="B165" t="s">
        <v>745</v>
      </c>
      <c r="C165" t="s">
        <v>748</v>
      </c>
      <c r="D165" t="s">
        <v>749</v>
      </c>
      <c r="E165">
        <v>34</v>
      </c>
      <c r="F165" t="s">
        <v>880</v>
      </c>
      <c r="G165" s="28">
        <v>2</v>
      </c>
      <c r="H165">
        <v>2</v>
      </c>
      <c r="I165">
        <f>45.108+22.772</f>
        <v>67.88</v>
      </c>
      <c r="J165">
        <v>64.650000000000006</v>
      </c>
      <c r="K165">
        <v>7.5170000000000003</v>
      </c>
      <c r="L165" s="8">
        <v>2</v>
      </c>
      <c r="M165" s="8" t="s">
        <v>454</v>
      </c>
      <c r="N165" s="14">
        <v>0</v>
      </c>
      <c r="Q165" s="5"/>
    </row>
    <row r="166" spans="1:20" x14ac:dyDescent="0.25">
      <c r="A166" t="s">
        <v>192</v>
      </c>
      <c r="B166" t="s">
        <v>745</v>
      </c>
      <c r="C166" t="s">
        <v>748</v>
      </c>
      <c r="D166" t="s">
        <v>749</v>
      </c>
      <c r="E166">
        <v>36</v>
      </c>
      <c r="F166" t="s">
        <v>229</v>
      </c>
      <c r="G166">
        <v>2</v>
      </c>
      <c r="H166">
        <v>2</v>
      </c>
      <c r="I166">
        <v>44.18</v>
      </c>
      <c r="J166">
        <v>64.33</v>
      </c>
      <c r="K166">
        <f>(4.857+4.982)/2</f>
        <v>4.9195000000000002</v>
      </c>
      <c r="L166" s="8">
        <v>0</v>
      </c>
      <c r="M166" s="8" t="s">
        <v>451</v>
      </c>
      <c r="N166" s="14" t="s">
        <v>452</v>
      </c>
      <c r="Q166" s="5" t="s">
        <v>752</v>
      </c>
      <c r="R166">
        <f>STDEV($J$110:$J$170)/SQRT(COUNT($J$110:$J$170))</f>
        <v>1.8819623018918783</v>
      </c>
      <c r="S166">
        <f>STDEV($J$171:$J$355)/SQRT(COUNT($J$171:$J$355))</f>
        <v>1.0888883446831306</v>
      </c>
      <c r="T166">
        <f>STDEV($J$356:$J$500)/SQRT(COUNT($J$356:$J$500))</f>
        <v>1.5071397310997132</v>
      </c>
    </row>
    <row r="167" spans="1:20" x14ac:dyDescent="0.25">
      <c r="A167" t="s">
        <v>192</v>
      </c>
      <c r="B167" t="s">
        <v>745</v>
      </c>
      <c r="C167" t="s">
        <v>748</v>
      </c>
      <c r="D167" t="s">
        <v>749</v>
      </c>
      <c r="E167">
        <v>37</v>
      </c>
      <c r="F167" t="s">
        <v>230</v>
      </c>
      <c r="G167">
        <v>3</v>
      </c>
      <c r="H167">
        <v>3</v>
      </c>
      <c r="I167">
        <f>76.052+18.253</f>
        <v>94.305000000000007</v>
      </c>
      <c r="J167">
        <v>45.572000000000003</v>
      </c>
      <c r="K167">
        <f>(1.697+1.299)/2</f>
        <v>1.498</v>
      </c>
      <c r="L167" s="8">
        <v>1</v>
      </c>
      <c r="M167" s="8" t="s">
        <v>451</v>
      </c>
      <c r="N167" s="14">
        <v>5.36</v>
      </c>
    </row>
    <row r="168" spans="1:20" x14ac:dyDescent="0.25">
      <c r="A168" t="s">
        <v>192</v>
      </c>
      <c r="B168" t="s">
        <v>745</v>
      </c>
      <c r="C168" t="s">
        <v>748</v>
      </c>
      <c r="D168" t="s">
        <v>749</v>
      </c>
      <c r="E168">
        <v>38</v>
      </c>
      <c r="F168" t="s">
        <v>231</v>
      </c>
      <c r="G168">
        <v>2</v>
      </c>
      <c r="H168">
        <v>2</v>
      </c>
      <c r="I168">
        <v>83.399000000000001</v>
      </c>
      <c r="J168">
        <v>82.412000000000006</v>
      </c>
      <c r="K168">
        <f>(5.74+5.314)/2</f>
        <v>5.5270000000000001</v>
      </c>
      <c r="L168" s="8">
        <v>0</v>
      </c>
      <c r="M168" s="8" t="s">
        <v>451</v>
      </c>
      <c r="N168" s="14" t="s">
        <v>452</v>
      </c>
      <c r="Q168" s="5" t="s">
        <v>751</v>
      </c>
      <c r="R168">
        <f>AVERAGE($J$501:$J$527)</f>
        <v>44.386555555555553</v>
      </c>
      <c r="S168">
        <f>AVERAGE($J$528:$J$680)</f>
        <v>40.981777777777772</v>
      </c>
      <c r="T168">
        <f>AVERAGE($J$681:$J$763)</f>
        <v>40.484746987951802</v>
      </c>
    </row>
    <row r="169" spans="1:20" x14ac:dyDescent="0.25">
      <c r="A169" t="s">
        <v>192</v>
      </c>
      <c r="B169" t="s">
        <v>745</v>
      </c>
      <c r="C169" t="s">
        <v>748</v>
      </c>
      <c r="D169" t="s">
        <v>749</v>
      </c>
      <c r="E169">
        <v>39</v>
      </c>
      <c r="F169" t="s">
        <v>232</v>
      </c>
      <c r="G169">
        <v>3</v>
      </c>
      <c r="H169">
        <v>4</v>
      </c>
      <c r="I169">
        <v>82.23</v>
      </c>
      <c r="J169">
        <v>20.963000000000001</v>
      </c>
      <c r="K169">
        <f>(1.495+2.228)/2</f>
        <v>1.8615000000000002</v>
      </c>
      <c r="L169" s="8">
        <v>0</v>
      </c>
      <c r="M169" s="8" t="s">
        <v>451</v>
      </c>
      <c r="N169" s="14" t="s">
        <v>452</v>
      </c>
    </row>
    <row r="170" spans="1:20" x14ac:dyDescent="0.25">
      <c r="A170" t="s">
        <v>192</v>
      </c>
      <c r="B170" t="s">
        <v>745</v>
      </c>
      <c r="C170" t="s">
        <v>748</v>
      </c>
      <c r="D170" t="s">
        <v>749</v>
      </c>
      <c r="E170">
        <v>40</v>
      </c>
      <c r="F170" t="s">
        <v>233</v>
      </c>
      <c r="G170">
        <v>3</v>
      </c>
      <c r="H170">
        <v>3</v>
      </c>
      <c r="I170">
        <f>76.121+12.247+2.674</f>
        <v>91.042000000000002</v>
      </c>
      <c r="J170">
        <v>45.445999999999998</v>
      </c>
      <c r="K170">
        <f>(2.857+2.272+1.607)/3</f>
        <v>2.2453333333333334</v>
      </c>
      <c r="L170" s="8">
        <v>2</v>
      </c>
      <c r="M170" s="8" t="s">
        <v>454</v>
      </c>
      <c r="N170" s="14">
        <v>0</v>
      </c>
    </row>
    <row r="171" spans="1:20" x14ac:dyDescent="0.25">
      <c r="A171" t="s">
        <v>192</v>
      </c>
      <c r="B171" t="s">
        <v>745</v>
      </c>
      <c r="C171" t="s">
        <v>748</v>
      </c>
      <c r="D171" t="s">
        <v>749</v>
      </c>
      <c r="E171">
        <v>41</v>
      </c>
      <c r="F171" t="s">
        <v>234</v>
      </c>
      <c r="G171">
        <v>3</v>
      </c>
      <c r="H171">
        <v>3</v>
      </c>
      <c r="I171">
        <f>78.446+43.888+14.641</f>
        <v>136.97499999999999</v>
      </c>
      <c r="J171">
        <v>42.786000000000001</v>
      </c>
      <c r="K171">
        <f>(2.267+1.641)/2</f>
        <v>1.954</v>
      </c>
      <c r="L171" s="8">
        <v>3</v>
      </c>
      <c r="M171" s="8" t="s">
        <v>454</v>
      </c>
      <c r="N171" s="14">
        <v>0</v>
      </c>
      <c r="O171" s="1" t="s">
        <v>235</v>
      </c>
    </row>
    <row r="172" spans="1:20" x14ac:dyDescent="0.25">
      <c r="A172" t="s">
        <v>192</v>
      </c>
      <c r="B172" t="s">
        <v>745</v>
      </c>
      <c r="C172" t="s">
        <v>748</v>
      </c>
      <c r="D172" t="s">
        <v>749</v>
      </c>
      <c r="E172">
        <v>42</v>
      </c>
      <c r="F172" t="s">
        <v>236</v>
      </c>
      <c r="G172">
        <v>3</v>
      </c>
      <c r="H172">
        <v>4</v>
      </c>
      <c r="I172">
        <v>126.563</v>
      </c>
      <c r="J172">
        <v>24.928000000000001</v>
      </c>
      <c r="K172">
        <f>(2.998+2.608)/2</f>
        <v>2.8029999999999999</v>
      </c>
      <c r="L172" s="8">
        <v>0</v>
      </c>
      <c r="M172" s="8" t="s">
        <v>451</v>
      </c>
      <c r="N172" s="14" t="s">
        <v>452</v>
      </c>
    </row>
    <row r="173" spans="1:20" x14ac:dyDescent="0.25">
      <c r="A173" t="s">
        <v>192</v>
      </c>
      <c r="B173" t="s">
        <v>745</v>
      </c>
      <c r="C173" t="s">
        <v>748</v>
      </c>
      <c r="D173" t="s">
        <v>749</v>
      </c>
      <c r="E173">
        <v>43</v>
      </c>
      <c r="F173" t="s">
        <v>237</v>
      </c>
      <c r="G173">
        <v>3</v>
      </c>
      <c r="H173">
        <v>4</v>
      </c>
      <c r="I173">
        <v>83.995999999999995</v>
      </c>
      <c r="J173">
        <v>30.486999999999998</v>
      </c>
      <c r="K173">
        <f>(3.459+2.228)/2</f>
        <v>2.8435000000000001</v>
      </c>
      <c r="L173" s="8">
        <v>0</v>
      </c>
      <c r="M173" s="8" t="s">
        <v>451</v>
      </c>
      <c r="N173" s="14" t="s">
        <v>452</v>
      </c>
    </row>
    <row r="174" spans="1:20" x14ac:dyDescent="0.25">
      <c r="A174" t="s">
        <v>192</v>
      </c>
      <c r="B174" t="s">
        <v>745</v>
      </c>
      <c r="C174" t="s">
        <v>748</v>
      </c>
      <c r="D174" t="s">
        <v>749</v>
      </c>
      <c r="E174">
        <v>44</v>
      </c>
      <c r="F174" t="s">
        <v>238</v>
      </c>
      <c r="G174">
        <v>3</v>
      </c>
      <c r="H174">
        <v>4</v>
      </c>
      <c r="I174">
        <f>47.992+49.259</f>
        <v>97.251000000000005</v>
      </c>
      <c r="J174">
        <v>16.268000000000001</v>
      </c>
      <c r="K174">
        <f>(2.194+1.656)/2</f>
        <v>1.9249999999999998</v>
      </c>
      <c r="L174" s="8">
        <v>1</v>
      </c>
      <c r="M174" s="8" t="s">
        <v>454</v>
      </c>
      <c r="N174" s="14">
        <v>0</v>
      </c>
      <c r="O174" s="1" t="s">
        <v>239</v>
      </c>
    </row>
    <row r="175" spans="1:20" x14ac:dyDescent="0.25">
      <c r="A175" t="s">
        <v>192</v>
      </c>
      <c r="B175" t="s">
        <v>745</v>
      </c>
      <c r="C175" t="s">
        <v>748</v>
      </c>
      <c r="D175" t="s">
        <v>749</v>
      </c>
      <c r="E175">
        <v>45</v>
      </c>
      <c r="F175" t="s">
        <v>240</v>
      </c>
      <c r="G175">
        <v>3</v>
      </c>
      <c r="H175">
        <v>4</v>
      </c>
      <c r="I175">
        <f>60.926+60.811</f>
        <v>121.73699999999999</v>
      </c>
      <c r="J175">
        <v>19.225999999999999</v>
      </c>
      <c r="K175">
        <f>(2.949+2.93+4.588)/3</f>
        <v>3.4889999999999994</v>
      </c>
      <c r="L175" s="8">
        <v>2</v>
      </c>
      <c r="M175" s="8" t="s">
        <v>454</v>
      </c>
      <c r="N175" s="14">
        <v>0</v>
      </c>
    </row>
    <row r="176" spans="1:20" x14ac:dyDescent="0.25">
      <c r="A176" t="s">
        <v>192</v>
      </c>
      <c r="B176" t="s">
        <v>745</v>
      </c>
      <c r="C176" t="s">
        <v>748</v>
      </c>
      <c r="D176" t="s">
        <v>749</v>
      </c>
      <c r="E176">
        <v>46</v>
      </c>
      <c r="F176" t="s">
        <v>241</v>
      </c>
      <c r="G176">
        <v>3</v>
      </c>
      <c r="H176">
        <v>4</v>
      </c>
      <c r="I176">
        <f>46.285+52.112</f>
        <v>98.396999999999991</v>
      </c>
      <c r="J176">
        <v>26.488</v>
      </c>
      <c r="K176">
        <f>(2.598+2.683+2.326)/3</f>
        <v>2.5356666666666663</v>
      </c>
      <c r="L176" s="8">
        <v>1</v>
      </c>
      <c r="M176" s="8" t="s">
        <v>454</v>
      </c>
      <c r="N176" s="14">
        <v>0</v>
      </c>
    </row>
    <row r="177" spans="1:20" x14ac:dyDescent="0.25">
      <c r="A177" t="s">
        <v>192</v>
      </c>
      <c r="B177" t="s">
        <v>745</v>
      </c>
      <c r="C177" t="s">
        <v>748</v>
      </c>
      <c r="D177" t="s">
        <v>749</v>
      </c>
      <c r="E177">
        <v>47</v>
      </c>
      <c r="F177" t="s">
        <v>242</v>
      </c>
      <c r="G177">
        <v>3</v>
      </c>
      <c r="H177">
        <v>3</v>
      </c>
      <c r="I177">
        <v>92.085999999999999</v>
      </c>
      <c r="J177">
        <v>57.463999999999999</v>
      </c>
      <c r="K177">
        <f>(2.69+2.377)/2</f>
        <v>2.5335000000000001</v>
      </c>
      <c r="L177" s="8">
        <v>0</v>
      </c>
      <c r="M177" s="8" t="s">
        <v>451</v>
      </c>
      <c r="N177" s="14" t="s">
        <v>452</v>
      </c>
    </row>
    <row r="178" spans="1:20" x14ac:dyDescent="0.25">
      <c r="A178" t="s">
        <v>192</v>
      </c>
      <c r="B178" t="s">
        <v>745</v>
      </c>
      <c r="C178" t="s">
        <v>748</v>
      </c>
      <c r="D178" t="s">
        <v>749</v>
      </c>
      <c r="E178">
        <v>48</v>
      </c>
      <c r="F178" t="s">
        <v>243</v>
      </c>
      <c r="G178">
        <v>3</v>
      </c>
      <c r="H178">
        <v>3</v>
      </c>
      <c r="I178">
        <v>94.960999999999999</v>
      </c>
      <c r="J178">
        <v>41.426000000000002</v>
      </c>
      <c r="K178">
        <f>(3.497+1.854+1.897)/3</f>
        <v>2.4159999999999999</v>
      </c>
      <c r="L178" s="8">
        <v>1</v>
      </c>
      <c r="M178" s="8" t="s">
        <v>454</v>
      </c>
      <c r="N178" s="14">
        <v>0</v>
      </c>
    </row>
    <row r="179" spans="1:20" x14ac:dyDescent="0.25">
      <c r="A179" t="s">
        <v>192</v>
      </c>
      <c r="B179" t="s">
        <v>745</v>
      </c>
      <c r="C179" t="s">
        <v>748</v>
      </c>
      <c r="D179" t="s">
        <v>749</v>
      </c>
      <c r="E179">
        <v>49</v>
      </c>
      <c r="F179" t="s">
        <v>244</v>
      </c>
      <c r="G179">
        <v>3</v>
      </c>
      <c r="H179">
        <v>3</v>
      </c>
      <c r="I179">
        <v>57.543999999999997</v>
      </c>
      <c r="J179">
        <v>60.72</v>
      </c>
      <c r="K179">
        <f>(4.339+1.548)/2</f>
        <v>2.9435000000000002</v>
      </c>
      <c r="L179" s="8">
        <v>1</v>
      </c>
      <c r="M179" s="8" t="s">
        <v>454</v>
      </c>
      <c r="N179" s="14">
        <v>0</v>
      </c>
    </row>
    <row r="180" spans="1:20" x14ac:dyDescent="0.25">
      <c r="A180" t="s">
        <v>192</v>
      </c>
      <c r="B180" t="s">
        <v>745</v>
      </c>
      <c r="C180" t="s">
        <v>748</v>
      </c>
      <c r="D180" t="s">
        <v>749</v>
      </c>
      <c r="E180">
        <v>50</v>
      </c>
      <c r="F180" t="s">
        <v>245</v>
      </c>
      <c r="G180">
        <v>3</v>
      </c>
      <c r="H180">
        <v>3</v>
      </c>
      <c r="I180">
        <f>40.409+49.048</f>
        <v>89.456999999999994</v>
      </c>
      <c r="J180">
        <v>44.804000000000002</v>
      </c>
      <c r="K180">
        <f>(1.595+3.254+1.837)/3</f>
        <v>2.2286666666666668</v>
      </c>
      <c r="L180" s="8">
        <v>2</v>
      </c>
      <c r="M180" s="8" t="s">
        <v>454</v>
      </c>
      <c r="N180" s="14">
        <v>0</v>
      </c>
    </row>
    <row r="181" spans="1:20" x14ac:dyDescent="0.25">
      <c r="A181" t="s">
        <v>192</v>
      </c>
      <c r="B181" t="s">
        <v>745</v>
      </c>
      <c r="C181" t="s">
        <v>748</v>
      </c>
      <c r="D181" t="s">
        <v>749</v>
      </c>
      <c r="E181">
        <v>51</v>
      </c>
      <c r="F181" t="s">
        <v>246</v>
      </c>
      <c r="G181">
        <v>3</v>
      </c>
      <c r="H181">
        <v>3</v>
      </c>
      <c r="I181">
        <f>72.125+31.998+61.357</f>
        <v>165.48000000000002</v>
      </c>
      <c r="J181">
        <v>40.25</v>
      </c>
      <c r="K181">
        <f>(2.727+2.267)/2</f>
        <v>2.4969999999999999</v>
      </c>
      <c r="L181" s="8">
        <v>2</v>
      </c>
      <c r="M181" s="8" t="s">
        <v>451</v>
      </c>
      <c r="N181" s="14">
        <v>6.6429999999999998</v>
      </c>
    </row>
    <row r="182" spans="1:20" x14ac:dyDescent="0.25">
      <c r="A182" t="s">
        <v>192</v>
      </c>
      <c r="B182" t="s">
        <v>745</v>
      </c>
      <c r="C182" t="s">
        <v>748</v>
      </c>
      <c r="D182" t="s">
        <v>749</v>
      </c>
      <c r="E182">
        <v>52</v>
      </c>
      <c r="F182" t="s">
        <v>247</v>
      </c>
      <c r="G182">
        <v>3</v>
      </c>
      <c r="H182">
        <v>4</v>
      </c>
      <c r="I182">
        <f>36.04+4.569</f>
        <v>40.609000000000002</v>
      </c>
      <c r="J182">
        <v>30.31</v>
      </c>
      <c r="K182">
        <f>(2.418+2.377+1.879)/3</f>
        <v>2.2246666666666663</v>
      </c>
      <c r="L182" s="8">
        <v>1</v>
      </c>
      <c r="M182" s="8" t="s">
        <v>454</v>
      </c>
      <c r="N182" s="14">
        <v>0</v>
      </c>
    </row>
    <row r="183" spans="1:20" x14ac:dyDescent="0.25">
      <c r="A183" t="s">
        <v>192</v>
      </c>
      <c r="B183" t="s">
        <v>745</v>
      </c>
      <c r="C183" t="s">
        <v>748</v>
      </c>
      <c r="D183" t="s">
        <v>749</v>
      </c>
      <c r="E183">
        <v>53</v>
      </c>
      <c r="F183" t="s">
        <v>248</v>
      </c>
      <c r="G183">
        <v>3</v>
      </c>
      <c r="H183">
        <v>3</v>
      </c>
      <c r="I183">
        <f>43.792+7.451</f>
        <v>51.243000000000002</v>
      </c>
      <c r="J183">
        <v>51.353000000000002</v>
      </c>
      <c r="K183">
        <f>(5.048+4.833)/2</f>
        <v>4.9405000000000001</v>
      </c>
      <c r="L183" s="8">
        <v>1</v>
      </c>
      <c r="M183" s="8" t="s">
        <v>451</v>
      </c>
      <c r="N183" s="14">
        <v>8.6590000000000007</v>
      </c>
      <c r="O183" s="1" t="s">
        <v>39</v>
      </c>
    </row>
    <row r="184" spans="1:20" x14ac:dyDescent="0.25">
      <c r="A184" t="s">
        <v>192</v>
      </c>
      <c r="B184" t="s">
        <v>745</v>
      </c>
      <c r="C184" t="s">
        <v>748</v>
      </c>
      <c r="D184" t="s">
        <v>749</v>
      </c>
      <c r="E184">
        <v>54</v>
      </c>
      <c r="F184" t="s">
        <v>249</v>
      </c>
      <c r="G184">
        <v>3</v>
      </c>
      <c r="H184">
        <v>3</v>
      </c>
      <c r="I184">
        <f>35.895+45.919</f>
        <v>81.813999999999993</v>
      </c>
      <c r="J184">
        <v>43.518999999999998</v>
      </c>
      <c r="K184">
        <f>(2.306+3.214)/2</f>
        <v>2.76</v>
      </c>
      <c r="L184" s="8">
        <v>1</v>
      </c>
      <c r="M184" s="8" t="s">
        <v>454</v>
      </c>
      <c r="N184" s="14">
        <v>0</v>
      </c>
    </row>
    <row r="185" spans="1:20" x14ac:dyDescent="0.25">
      <c r="A185" t="s">
        <v>192</v>
      </c>
      <c r="B185" t="s">
        <v>745</v>
      </c>
      <c r="C185" t="s">
        <v>748</v>
      </c>
      <c r="D185" t="s">
        <v>749</v>
      </c>
      <c r="E185">
        <v>55</v>
      </c>
      <c r="F185" t="s">
        <v>250</v>
      </c>
      <c r="G185">
        <v>3</v>
      </c>
      <c r="H185">
        <v>2</v>
      </c>
      <c r="I185">
        <v>67.975999999999999</v>
      </c>
      <c r="J185">
        <v>78.200999999999993</v>
      </c>
      <c r="K185">
        <f>(2.564+2.918)/2</f>
        <v>2.7410000000000001</v>
      </c>
      <c r="L185" s="8">
        <v>0</v>
      </c>
      <c r="M185" s="8" t="s">
        <v>451</v>
      </c>
      <c r="N185" s="14" t="s">
        <v>452</v>
      </c>
      <c r="Q185" s="5" t="s">
        <v>753</v>
      </c>
      <c r="R185">
        <f>STDEV($J$501:$J$527)/SQRT(COUNT($J$501:$J$527))</f>
        <v>2.1822999037473152</v>
      </c>
      <c r="S185">
        <f>STDEV($J$528:$J$680)/SQRT(COUNT($J$528:$J$680))</f>
        <v>1.4864420112141248</v>
      </c>
      <c r="T185">
        <f>STDEV($J$681:$J$763)/SQRT(COUNT($J$681:$J$763))</f>
        <v>1.6936964149288405</v>
      </c>
    </row>
    <row r="186" spans="1:20" x14ac:dyDescent="0.25">
      <c r="A186" t="s">
        <v>192</v>
      </c>
      <c r="B186" t="s">
        <v>745</v>
      </c>
      <c r="C186" t="s">
        <v>748</v>
      </c>
      <c r="D186" t="s">
        <v>749</v>
      </c>
      <c r="E186">
        <v>56</v>
      </c>
      <c r="F186" t="s">
        <v>251</v>
      </c>
      <c r="G186">
        <v>3</v>
      </c>
      <c r="H186">
        <v>2</v>
      </c>
      <c r="I186">
        <f>55.058+16.109+10.245</f>
        <v>81.412000000000006</v>
      </c>
      <c r="J186">
        <v>79.638000000000005</v>
      </c>
      <c r="K186">
        <f>(3.279+3.649)/2</f>
        <v>3.464</v>
      </c>
      <c r="L186" s="8">
        <v>2</v>
      </c>
      <c r="M186" s="8" t="s">
        <v>451</v>
      </c>
      <c r="N186" s="14">
        <v>8.5210000000000008</v>
      </c>
      <c r="Q186" s="5" t="s">
        <v>186</v>
      </c>
      <c r="R186">
        <f>AVERAGE($J$110:$J$170)</f>
        <v>39.170180327868856</v>
      </c>
      <c r="S186">
        <f>AVERAGE($J$171:$J$355)</f>
        <v>38.711691891891903</v>
      </c>
      <c r="T186">
        <f>AVERAGE($J$356:$J$500)</f>
        <v>49.348544827586203</v>
      </c>
    </row>
    <row r="187" spans="1:20" x14ac:dyDescent="0.25">
      <c r="A187" t="s">
        <v>192</v>
      </c>
      <c r="B187" t="s">
        <v>745</v>
      </c>
      <c r="C187" t="s">
        <v>748</v>
      </c>
      <c r="D187" t="s">
        <v>749</v>
      </c>
      <c r="E187">
        <v>57</v>
      </c>
      <c r="F187" t="s">
        <v>252</v>
      </c>
      <c r="G187">
        <v>3</v>
      </c>
      <c r="H187">
        <v>3</v>
      </c>
      <c r="I187">
        <f>29.452+39.02</f>
        <v>68.472000000000008</v>
      </c>
      <c r="J187">
        <v>43.689</v>
      </c>
      <c r="K187">
        <f>(1.595+2.22+2.326)/3</f>
        <v>2.0470000000000002</v>
      </c>
      <c r="L187" s="8">
        <v>1</v>
      </c>
      <c r="M187" s="8" t="s">
        <v>454</v>
      </c>
      <c r="N187" s="14">
        <v>0</v>
      </c>
    </row>
    <row r="188" spans="1:20" x14ac:dyDescent="0.25">
      <c r="A188" t="s">
        <v>192</v>
      </c>
      <c r="B188" t="s">
        <v>745</v>
      </c>
      <c r="C188" t="s">
        <v>748</v>
      </c>
      <c r="D188" t="s">
        <v>749</v>
      </c>
      <c r="E188">
        <v>58</v>
      </c>
      <c r="F188" t="s">
        <v>253</v>
      </c>
      <c r="G188">
        <v>3</v>
      </c>
      <c r="H188">
        <v>2</v>
      </c>
      <c r="I188">
        <v>18.707000000000001</v>
      </c>
      <c r="J188">
        <v>65.73</v>
      </c>
      <c r="K188">
        <f>(5.583+5.085)/2</f>
        <v>5.3339999999999996</v>
      </c>
      <c r="L188" s="8">
        <v>0</v>
      </c>
      <c r="M188" s="8" t="s">
        <v>451</v>
      </c>
      <c r="N188" s="14" t="s">
        <v>452</v>
      </c>
      <c r="Q188" s="5" t="s">
        <v>187</v>
      </c>
      <c r="R188">
        <f>STDEV($J$110:$J$170,$J$501:$J$527)/SQRT(COUNT($J$110:$J$170,$J$501:$J$527))</f>
        <v>1.4820160582422068</v>
      </c>
      <c r="S188">
        <f>STDEV($J$171:$J$355,$J$528:$J$680)/SQRT(COUNT($J$171:$J$355,$J$528:$J$680))</f>
        <v>0.89957325213364603</v>
      </c>
      <c r="T188">
        <f>STDEV($J$356:$J$500,$J$681:$J$763)/SQRT(COUNT($J$356:$J$500,$J$681:$J$763))</f>
        <v>1.1720658421337988</v>
      </c>
    </row>
    <row r="189" spans="1:20" x14ac:dyDescent="0.25">
      <c r="A189" t="s">
        <v>192</v>
      </c>
      <c r="B189" t="s">
        <v>745</v>
      </c>
      <c r="C189" t="s">
        <v>748</v>
      </c>
      <c r="D189" t="s">
        <v>749</v>
      </c>
      <c r="E189">
        <v>59</v>
      </c>
      <c r="F189" t="s">
        <v>254</v>
      </c>
      <c r="G189">
        <v>3</v>
      </c>
      <c r="H189">
        <v>2</v>
      </c>
      <c r="I189">
        <v>57.503</v>
      </c>
      <c r="J189">
        <v>87.11</v>
      </c>
      <c r="K189">
        <f>(3.167+4.109)/2</f>
        <v>3.6379999999999999</v>
      </c>
      <c r="L189" s="8">
        <v>0</v>
      </c>
      <c r="M189" s="8" t="s">
        <v>451</v>
      </c>
      <c r="N189" s="14" t="s">
        <v>452</v>
      </c>
      <c r="Q189" s="5"/>
    </row>
    <row r="190" spans="1:20" x14ac:dyDescent="0.25">
      <c r="A190" t="s">
        <v>192</v>
      </c>
      <c r="B190" t="s">
        <v>745</v>
      </c>
      <c r="C190" t="s">
        <v>748</v>
      </c>
      <c r="D190" t="s">
        <v>749</v>
      </c>
      <c r="E190">
        <v>60</v>
      </c>
      <c r="F190" t="s">
        <v>255</v>
      </c>
      <c r="G190">
        <v>3</v>
      </c>
      <c r="H190">
        <v>2</v>
      </c>
      <c r="I190">
        <f>21.664+24.409</f>
        <v>46.073</v>
      </c>
      <c r="J190">
        <v>53.823999999999998</v>
      </c>
      <c r="K190">
        <f>(3.541+3.439+1.907)/3</f>
        <v>2.9623333333333335</v>
      </c>
      <c r="L190" s="8">
        <v>1</v>
      </c>
      <c r="M190" s="8" t="s">
        <v>454</v>
      </c>
      <c r="N190" s="14">
        <v>0</v>
      </c>
      <c r="O190" s="1" t="s">
        <v>158</v>
      </c>
      <c r="Q190" s="5" t="s">
        <v>188</v>
      </c>
      <c r="R190" s="2">
        <v>2</v>
      </c>
      <c r="S190" s="2">
        <v>3</v>
      </c>
      <c r="T190" s="2">
        <v>4</v>
      </c>
    </row>
    <row r="191" spans="1:20" x14ac:dyDescent="0.25">
      <c r="A191" t="s">
        <v>192</v>
      </c>
      <c r="B191" t="s">
        <v>745</v>
      </c>
      <c r="C191" t="s">
        <v>748</v>
      </c>
      <c r="D191" t="s">
        <v>749</v>
      </c>
      <c r="E191">
        <v>61</v>
      </c>
      <c r="F191" t="s">
        <v>256</v>
      </c>
      <c r="G191">
        <v>3</v>
      </c>
      <c r="H191">
        <v>3</v>
      </c>
      <c r="I191">
        <f>65.58+8.087+25.517</f>
        <v>99.183999999999997</v>
      </c>
      <c r="J191">
        <v>59.728000000000002</v>
      </c>
      <c r="K191">
        <f>(2.54+3.344+2.892)/3</f>
        <v>2.9253333333333331</v>
      </c>
      <c r="L191" s="8">
        <v>2</v>
      </c>
      <c r="M191" s="8" t="s">
        <v>454</v>
      </c>
      <c r="N191" s="14">
        <v>0</v>
      </c>
    </row>
    <row r="192" spans="1:20" x14ac:dyDescent="0.25">
      <c r="A192" t="s">
        <v>116</v>
      </c>
      <c r="B192" t="s">
        <v>163</v>
      </c>
      <c r="D192" t="s">
        <v>749</v>
      </c>
      <c r="E192">
        <v>1</v>
      </c>
      <c r="F192" t="s">
        <v>117</v>
      </c>
      <c r="G192">
        <v>3</v>
      </c>
      <c r="H192">
        <v>4</v>
      </c>
      <c r="I192">
        <f>90.211+5.489</f>
        <v>95.7</v>
      </c>
      <c r="J192">
        <v>18.257000000000001</v>
      </c>
      <c r="K192">
        <f>(4.866+3.062)/2</f>
        <v>3.9639999999999995</v>
      </c>
      <c r="L192" s="8">
        <v>1</v>
      </c>
      <c r="M192" s="8" t="s">
        <v>454</v>
      </c>
      <c r="N192" s="14">
        <v>0</v>
      </c>
    </row>
    <row r="193" spans="1:15" x14ac:dyDescent="0.25">
      <c r="A193" t="s">
        <v>116</v>
      </c>
      <c r="B193" t="s">
        <v>163</v>
      </c>
      <c r="D193" t="s">
        <v>749</v>
      </c>
      <c r="E193">
        <v>2</v>
      </c>
      <c r="F193" t="s">
        <v>118</v>
      </c>
      <c r="G193">
        <v>3</v>
      </c>
      <c r="H193">
        <v>3</v>
      </c>
      <c r="I193">
        <f>36.244+28.748</f>
        <v>64.992000000000004</v>
      </c>
      <c r="J193">
        <v>34.801000000000002</v>
      </c>
      <c r="K193">
        <f>(2.727+3.214+4.389)/3</f>
        <v>3.4433333333333334</v>
      </c>
      <c r="L193" s="8">
        <v>1</v>
      </c>
      <c r="M193" s="8" t="s">
        <v>454</v>
      </c>
      <c r="N193" s="14">
        <v>0</v>
      </c>
    </row>
    <row r="194" spans="1:15" x14ac:dyDescent="0.25">
      <c r="A194" t="s">
        <v>116</v>
      </c>
      <c r="B194" t="s">
        <v>163</v>
      </c>
      <c r="D194" t="s">
        <v>749</v>
      </c>
      <c r="E194">
        <v>3</v>
      </c>
      <c r="F194" t="s">
        <v>119</v>
      </c>
      <c r="G194">
        <v>3</v>
      </c>
      <c r="H194">
        <v>4</v>
      </c>
      <c r="I194">
        <v>75.372</v>
      </c>
      <c r="J194">
        <v>35.930999999999997</v>
      </c>
      <c r="K194">
        <f>(2.54+3.041)/2</f>
        <v>2.7904999999999998</v>
      </c>
      <c r="L194" s="8">
        <v>1</v>
      </c>
      <c r="M194" s="8" t="s">
        <v>451</v>
      </c>
      <c r="N194" s="14">
        <v>4.4930000000000003</v>
      </c>
      <c r="O194" s="1" t="s">
        <v>176</v>
      </c>
    </row>
    <row r="195" spans="1:15" x14ac:dyDescent="0.25">
      <c r="A195" t="s">
        <v>116</v>
      </c>
      <c r="B195" t="s">
        <v>163</v>
      </c>
      <c r="D195" t="s">
        <v>749</v>
      </c>
      <c r="E195">
        <v>4</v>
      </c>
      <c r="F195" t="s">
        <v>120</v>
      </c>
      <c r="G195">
        <v>3</v>
      </c>
      <c r="H195">
        <v>4</v>
      </c>
      <c r="I195">
        <f>94.326+42.653</f>
        <v>136.97899999999998</v>
      </c>
      <c r="J195">
        <v>22.545000000000002</v>
      </c>
      <c r="K195">
        <f>(4.456+2.905)/2</f>
        <v>3.6805000000000003</v>
      </c>
      <c r="L195" s="8">
        <v>2</v>
      </c>
      <c r="M195" s="8" t="s">
        <v>454</v>
      </c>
      <c r="N195" s="14">
        <v>0</v>
      </c>
    </row>
    <row r="196" spans="1:15" x14ac:dyDescent="0.25">
      <c r="A196" t="s">
        <v>116</v>
      </c>
      <c r="B196" t="s">
        <v>163</v>
      </c>
      <c r="D196" t="s">
        <v>749</v>
      </c>
      <c r="E196">
        <v>5</v>
      </c>
      <c r="F196" t="s">
        <v>121</v>
      </c>
      <c r="G196">
        <v>3</v>
      </c>
      <c r="H196">
        <v>4</v>
      </c>
      <c r="I196">
        <f>75.577+10.779</f>
        <v>86.355999999999995</v>
      </c>
      <c r="J196">
        <v>25.24</v>
      </c>
      <c r="K196">
        <f>(2.4+3.833+2.756)/3</f>
        <v>2.9963333333333337</v>
      </c>
      <c r="L196" s="8">
        <v>1</v>
      </c>
      <c r="M196" s="8" t="s">
        <v>454</v>
      </c>
      <c r="N196" s="14">
        <v>0</v>
      </c>
    </row>
    <row r="197" spans="1:15" x14ac:dyDescent="0.25">
      <c r="A197" t="s">
        <v>116</v>
      </c>
      <c r="B197" t="s">
        <v>163</v>
      </c>
      <c r="D197" t="s">
        <v>749</v>
      </c>
      <c r="E197">
        <v>6</v>
      </c>
      <c r="F197" t="s">
        <v>122</v>
      </c>
      <c r="G197">
        <v>3</v>
      </c>
      <c r="H197">
        <v>4</v>
      </c>
      <c r="I197">
        <v>28.902999999999999</v>
      </c>
      <c r="J197">
        <v>32.518999999999998</v>
      </c>
      <c r="K197">
        <v>3.593</v>
      </c>
      <c r="L197" s="8">
        <v>0</v>
      </c>
      <c r="M197" s="8" t="s">
        <v>451</v>
      </c>
      <c r="N197" s="14" t="s">
        <v>452</v>
      </c>
      <c r="O197" s="1" t="s">
        <v>176</v>
      </c>
    </row>
    <row r="198" spans="1:15" x14ac:dyDescent="0.25">
      <c r="A198" t="s">
        <v>116</v>
      </c>
      <c r="B198" t="s">
        <v>163</v>
      </c>
      <c r="D198" t="s">
        <v>749</v>
      </c>
      <c r="E198">
        <v>7</v>
      </c>
      <c r="F198" t="s">
        <v>123</v>
      </c>
      <c r="G198">
        <v>3</v>
      </c>
      <c r="H198">
        <v>4</v>
      </c>
      <c r="I198">
        <v>34.304000000000002</v>
      </c>
      <c r="J198">
        <v>34.185000000000002</v>
      </c>
      <c r="K198">
        <v>4.0540000000000003</v>
      </c>
      <c r="L198" s="8">
        <v>0</v>
      </c>
      <c r="M198" s="8" t="s">
        <v>451</v>
      </c>
      <c r="N198" s="14" t="s">
        <v>452</v>
      </c>
      <c r="O198" s="1" t="s">
        <v>176</v>
      </c>
    </row>
    <row r="199" spans="1:15" x14ac:dyDescent="0.25">
      <c r="A199" t="s">
        <v>116</v>
      </c>
      <c r="B199" t="s">
        <v>163</v>
      </c>
      <c r="D199" t="s">
        <v>749</v>
      </c>
      <c r="E199">
        <v>8</v>
      </c>
      <c r="F199" t="s">
        <v>124</v>
      </c>
      <c r="G199">
        <v>3</v>
      </c>
      <c r="H199">
        <v>3</v>
      </c>
      <c r="I199">
        <f>34.824+44.334</f>
        <v>79.158000000000001</v>
      </c>
      <c r="J199">
        <v>31.533000000000001</v>
      </c>
      <c r="K199">
        <f>(1.789+3.899)/2</f>
        <v>2.8439999999999999</v>
      </c>
      <c r="L199" s="8">
        <v>1</v>
      </c>
      <c r="M199" s="8" t="s">
        <v>454</v>
      </c>
      <c r="N199" s="14">
        <v>0</v>
      </c>
      <c r="O199" s="1" t="s">
        <v>177</v>
      </c>
    </row>
    <row r="200" spans="1:15" x14ac:dyDescent="0.25">
      <c r="A200" t="s">
        <v>116</v>
      </c>
      <c r="B200" t="s">
        <v>163</v>
      </c>
      <c r="D200" t="s">
        <v>749</v>
      </c>
      <c r="E200">
        <v>9</v>
      </c>
      <c r="F200" t="s">
        <v>125</v>
      </c>
      <c r="G200">
        <v>3</v>
      </c>
      <c r="H200">
        <v>4</v>
      </c>
      <c r="I200">
        <f>69.116+81.185</f>
        <v>150.30099999999999</v>
      </c>
      <c r="J200">
        <v>32.247</v>
      </c>
      <c r="K200">
        <f>(2.711+3.627)/2</f>
        <v>3.1689999999999996</v>
      </c>
      <c r="L200" s="8">
        <v>2</v>
      </c>
      <c r="M200" s="8" t="s">
        <v>454</v>
      </c>
      <c r="N200" s="14">
        <v>0</v>
      </c>
      <c r="O200" s="1" t="s">
        <v>176</v>
      </c>
    </row>
    <row r="201" spans="1:15" x14ac:dyDescent="0.25">
      <c r="A201" t="s">
        <v>116</v>
      </c>
      <c r="B201" t="s">
        <v>163</v>
      </c>
      <c r="D201" t="s">
        <v>749</v>
      </c>
      <c r="E201">
        <v>10</v>
      </c>
      <c r="F201" t="s">
        <v>126</v>
      </c>
      <c r="G201">
        <v>3</v>
      </c>
      <c r="H201">
        <v>4</v>
      </c>
      <c r="I201">
        <v>55.634</v>
      </c>
      <c r="J201">
        <v>25.509</v>
      </c>
      <c r="K201">
        <f>(3.59+1.861)/2</f>
        <v>2.7254999999999998</v>
      </c>
      <c r="L201" s="8">
        <v>0</v>
      </c>
      <c r="M201" s="8" t="s">
        <v>451</v>
      </c>
      <c r="N201" s="14" t="s">
        <v>452</v>
      </c>
    </row>
    <row r="202" spans="1:15" x14ac:dyDescent="0.25">
      <c r="A202" t="s">
        <v>116</v>
      </c>
      <c r="B202" t="s">
        <v>163</v>
      </c>
      <c r="D202" t="s">
        <v>749</v>
      </c>
      <c r="E202">
        <v>11</v>
      </c>
      <c r="F202" t="s">
        <v>127</v>
      </c>
      <c r="G202">
        <v>3</v>
      </c>
      <c r="H202">
        <v>3</v>
      </c>
      <c r="I202">
        <v>76.179000000000002</v>
      </c>
      <c r="J202">
        <v>33.601999999999997</v>
      </c>
      <c r="K202">
        <f>(3.735+3.481)/2</f>
        <v>3.6079999999999997</v>
      </c>
      <c r="L202" s="8">
        <v>0</v>
      </c>
      <c r="M202" s="8" t="s">
        <v>451</v>
      </c>
      <c r="N202" s="14" t="s">
        <v>452</v>
      </c>
      <c r="O202" s="1" t="s">
        <v>178</v>
      </c>
    </row>
    <row r="203" spans="1:15" x14ac:dyDescent="0.25">
      <c r="A203" t="s">
        <v>116</v>
      </c>
      <c r="B203" t="s">
        <v>163</v>
      </c>
      <c r="D203" t="s">
        <v>749</v>
      </c>
      <c r="E203">
        <v>12</v>
      </c>
      <c r="F203" t="s">
        <v>128</v>
      </c>
      <c r="G203">
        <v>3</v>
      </c>
      <c r="H203">
        <v>3</v>
      </c>
      <c r="I203">
        <f>86.222+33.106</f>
        <v>119.328</v>
      </c>
      <c r="J203">
        <v>36.750999999999998</v>
      </c>
      <c r="K203">
        <f>(5.348+5.389)/2</f>
        <v>5.3685</v>
      </c>
      <c r="L203" s="8">
        <v>1</v>
      </c>
      <c r="M203" s="8" t="s">
        <v>451</v>
      </c>
      <c r="N203" s="14">
        <v>14.916</v>
      </c>
    </row>
    <row r="204" spans="1:15" x14ac:dyDescent="0.25">
      <c r="A204" t="s">
        <v>116</v>
      </c>
      <c r="B204" t="s">
        <v>163</v>
      </c>
      <c r="D204" t="s">
        <v>749</v>
      </c>
      <c r="E204">
        <v>13</v>
      </c>
      <c r="F204" t="s">
        <v>129</v>
      </c>
      <c r="G204">
        <v>3</v>
      </c>
      <c r="H204">
        <v>3</v>
      </c>
      <c r="I204">
        <v>67.668000000000006</v>
      </c>
      <c r="J204">
        <v>33.037999999999997</v>
      </c>
      <c r="K204">
        <f>(3.459+3.6)/2</f>
        <v>3.5295000000000001</v>
      </c>
      <c r="L204" s="8">
        <v>0</v>
      </c>
      <c r="M204" s="8" t="s">
        <v>451</v>
      </c>
      <c r="N204" s="14" t="s">
        <v>452</v>
      </c>
      <c r="O204" s="1" t="s">
        <v>177</v>
      </c>
    </row>
    <row r="205" spans="1:15" x14ac:dyDescent="0.25">
      <c r="A205" t="s">
        <v>116</v>
      </c>
      <c r="B205" t="s">
        <v>163</v>
      </c>
      <c r="D205" t="s">
        <v>749</v>
      </c>
      <c r="E205">
        <v>14</v>
      </c>
      <c r="F205" t="s">
        <v>130</v>
      </c>
      <c r="G205">
        <v>3</v>
      </c>
      <c r="H205">
        <v>3</v>
      </c>
      <c r="I205">
        <v>47.039000000000001</v>
      </c>
      <c r="J205">
        <v>36.664999999999999</v>
      </c>
      <c r="K205">
        <f>(3.239+3.692)/2</f>
        <v>3.4655</v>
      </c>
      <c r="L205" s="8">
        <v>1</v>
      </c>
      <c r="M205" s="8" t="s">
        <v>451</v>
      </c>
      <c r="N205" s="14">
        <v>15.891999999999999</v>
      </c>
    </row>
    <row r="206" spans="1:15" x14ac:dyDescent="0.25">
      <c r="A206" t="s">
        <v>116</v>
      </c>
      <c r="B206" t="s">
        <v>163</v>
      </c>
      <c r="D206" t="s">
        <v>749</v>
      </c>
      <c r="E206">
        <v>15</v>
      </c>
      <c r="F206" t="s">
        <v>131</v>
      </c>
      <c r="G206">
        <v>3</v>
      </c>
      <c r="H206">
        <v>2</v>
      </c>
      <c r="I206">
        <v>58.05</v>
      </c>
      <c r="J206">
        <v>48.527000000000001</v>
      </c>
      <c r="K206">
        <f>(3.796+4.256)/2</f>
        <v>4.0259999999999998</v>
      </c>
      <c r="L206" s="8">
        <v>0</v>
      </c>
      <c r="M206" s="8" t="s">
        <v>451</v>
      </c>
      <c r="N206" s="14" t="s">
        <v>452</v>
      </c>
      <c r="O206" s="1" t="s">
        <v>176</v>
      </c>
    </row>
    <row r="207" spans="1:15" x14ac:dyDescent="0.25">
      <c r="A207" t="s">
        <v>116</v>
      </c>
      <c r="B207" t="s">
        <v>163</v>
      </c>
      <c r="D207" t="s">
        <v>749</v>
      </c>
      <c r="E207">
        <v>16</v>
      </c>
      <c r="F207" t="s">
        <v>132</v>
      </c>
      <c r="G207">
        <v>3</v>
      </c>
      <c r="H207">
        <v>4</v>
      </c>
      <c r="I207">
        <f>40.585+27.369</f>
        <v>67.954000000000008</v>
      </c>
      <c r="J207">
        <v>13.670999999999999</v>
      </c>
      <c r="K207">
        <f>(3.889+3.543+3.761)/3</f>
        <v>3.7310000000000003</v>
      </c>
      <c r="L207" s="8">
        <v>1</v>
      </c>
      <c r="M207" s="8" t="s">
        <v>454</v>
      </c>
      <c r="N207" s="14">
        <v>0</v>
      </c>
      <c r="O207" s="1" t="s">
        <v>133</v>
      </c>
    </row>
    <row r="208" spans="1:15" x14ac:dyDescent="0.25">
      <c r="A208" t="s">
        <v>116</v>
      </c>
      <c r="B208" t="s">
        <v>163</v>
      </c>
      <c r="D208" t="s">
        <v>749</v>
      </c>
      <c r="E208">
        <v>17</v>
      </c>
      <c r="F208" t="s">
        <v>134</v>
      </c>
      <c r="G208">
        <v>3</v>
      </c>
      <c r="H208">
        <v>4</v>
      </c>
      <c r="I208">
        <f>74.869+21.11</f>
        <v>95.978999999999999</v>
      </c>
      <c r="J208">
        <v>39.226999999999997</v>
      </c>
      <c r="K208">
        <f>(3.593+3.031)/2</f>
        <v>3.3120000000000003</v>
      </c>
      <c r="L208" s="8">
        <v>1</v>
      </c>
      <c r="M208" s="8" t="s">
        <v>451</v>
      </c>
      <c r="N208" s="14">
        <v>35.796999999999997</v>
      </c>
      <c r="O208" s="1" t="s">
        <v>176</v>
      </c>
    </row>
    <row r="209" spans="1:15" x14ac:dyDescent="0.25">
      <c r="A209" t="s">
        <v>116</v>
      </c>
      <c r="B209" t="s">
        <v>163</v>
      </c>
      <c r="D209" t="s">
        <v>749</v>
      </c>
      <c r="E209">
        <v>18</v>
      </c>
      <c r="F209" t="s">
        <v>135</v>
      </c>
      <c r="G209">
        <v>3</v>
      </c>
      <c r="H209">
        <v>3</v>
      </c>
      <c r="I209">
        <v>81.188000000000002</v>
      </c>
      <c r="J209">
        <v>32.143000000000001</v>
      </c>
      <c r="K209">
        <f>(3.758+3.489)/2</f>
        <v>3.6234999999999999</v>
      </c>
      <c r="L209" s="8">
        <v>0</v>
      </c>
      <c r="M209" s="8" t="s">
        <v>451</v>
      </c>
      <c r="N209" s="14" t="s">
        <v>452</v>
      </c>
      <c r="O209" s="1" t="s">
        <v>177</v>
      </c>
    </row>
    <row r="210" spans="1:15" x14ac:dyDescent="0.25">
      <c r="A210" t="s">
        <v>116</v>
      </c>
      <c r="B210" t="s">
        <v>163</v>
      </c>
      <c r="D210" t="s">
        <v>749</v>
      </c>
      <c r="E210">
        <v>19</v>
      </c>
      <c r="F210" t="s">
        <v>136</v>
      </c>
      <c r="G210">
        <v>3</v>
      </c>
      <c r="H210">
        <v>3</v>
      </c>
      <c r="I210">
        <v>79.102000000000004</v>
      </c>
      <c r="J210">
        <v>44.524000000000001</v>
      </c>
      <c r="K210">
        <f>(3.167+3.031)/2</f>
        <v>3.0990000000000002</v>
      </c>
      <c r="L210" s="8">
        <v>0</v>
      </c>
      <c r="M210" s="8" t="s">
        <v>451</v>
      </c>
      <c r="N210" s="14" t="s">
        <v>452</v>
      </c>
      <c r="O210" s="1" t="s">
        <v>177</v>
      </c>
    </row>
    <row r="211" spans="1:15" x14ac:dyDescent="0.25">
      <c r="A211" t="s">
        <v>116</v>
      </c>
      <c r="B211" t="s">
        <v>163</v>
      </c>
      <c r="D211" t="s">
        <v>749</v>
      </c>
      <c r="E211">
        <v>20</v>
      </c>
      <c r="F211" t="s">
        <v>137</v>
      </c>
      <c r="G211">
        <v>3</v>
      </c>
      <c r="H211">
        <v>3</v>
      </c>
      <c r="I211">
        <f>85.989+4.946</f>
        <v>90.935000000000002</v>
      </c>
      <c r="J211">
        <v>38.984000000000002</v>
      </c>
      <c r="K211">
        <f>(2.32+4.256)/2</f>
        <v>3.2880000000000003</v>
      </c>
      <c r="L211" s="8">
        <v>2</v>
      </c>
      <c r="M211" s="8" t="s">
        <v>454</v>
      </c>
      <c r="N211" s="14">
        <v>0</v>
      </c>
      <c r="O211" s="1" t="s">
        <v>177</v>
      </c>
    </row>
    <row r="212" spans="1:15" x14ac:dyDescent="0.25">
      <c r="A212" t="s">
        <v>116</v>
      </c>
      <c r="B212" t="s">
        <v>163</v>
      </c>
      <c r="D212" t="s">
        <v>749</v>
      </c>
      <c r="E212">
        <v>21</v>
      </c>
      <c r="F212" t="s">
        <v>138</v>
      </c>
      <c r="G212">
        <v>3</v>
      </c>
      <c r="H212">
        <v>3</v>
      </c>
      <c r="I212">
        <v>71.405000000000001</v>
      </c>
      <c r="J212">
        <v>33.847999999999999</v>
      </c>
      <c r="K212">
        <f>(4.222+2.926)/2</f>
        <v>3.5740000000000003</v>
      </c>
      <c r="L212" s="8">
        <v>0</v>
      </c>
      <c r="M212" s="8" t="s">
        <v>451</v>
      </c>
      <c r="N212" s="14" t="s">
        <v>452</v>
      </c>
    </row>
    <row r="213" spans="1:15" x14ac:dyDescent="0.25">
      <c r="A213" t="s">
        <v>116</v>
      </c>
      <c r="B213" t="s">
        <v>163</v>
      </c>
      <c r="D213" t="s">
        <v>749</v>
      </c>
      <c r="E213">
        <v>22</v>
      </c>
      <c r="F213" t="s">
        <v>139</v>
      </c>
      <c r="G213">
        <v>3</v>
      </c>
      <c r="H213">
        <v>3</v>
      </c>
      <c r="I213">
        <f>59.798+19.937</f>
        <v>79.734999999999999</v>
      </c>
      <c r="J213">
        <v>41.634999999999998</v>
      </c>
      <c r="K213">
        <f>(4.907+4.982)/2</f>
        <v>4.9444999999999997</v>
      </c>
      <c r="L213" s="8">
        <v>1</v>
      </c>
      <c r="M213" s="8" t="s">
        <v>451</v>
      </c>
      <c r="N213" s="14">
        <v>23.664999999999999</v>
      </c>
    </row>
    <row r="214" spans="1:15" x14ac:dyDescent="0.25">
      <c r="A214" t="s">
        <v>116</v>
      </c>
      <c r="B214" t="s">
        <v>163</v>
      </c>
      <c r="D214" t="s">
        <v>749</v>
      </c>
      <c r="E214">
        <v>23</v>
      </c>
      <c r="F214" t="s">
        <v>140</v>
      </c>
      <c r="G214">
        <v>3</v>
      </c>
      <c r="H214">
        <v>4</v>
      </c>
      <c r="I214">
        <f>103.247+15.873</f>
        <v>119.12</v>
      </c>
      <c r="J214">
        <v>30.902999999999999</v>
      </c>
      <c r="K214">
        <f>(4.119+2.459)/2</f>
        <v>3.2889999999999997</v>
      </c>
      <c r="L214" s="8">
        <v>1</v>
      </c>
      <c r="M214" s="8" t="s">
        <v>454</v>
      </c>
      <c r="N214" s="14">
        <v>0</v>
      </c>
    </row>
    <row r="215" spans="1:15" x14ac:dyDescent="0.25">
      <c r="A215" t="s">
        <v>116</v>
      </c>
      <c r="B215" t="s">
        <v>163</v>
      </c>
      <c r="D215" t="s">
        <v>749</v>
      </c>
      <c r="E215">
        <v>24</v>
      </c>
      <c r="F215" t="s">
        <v>141</v>
      </c>
      <c r="G215">
        <v>3</v>
      </c>
      <c r="H215">
        <v>3</v>
      </c>
      <c r="I215">
        <f>29.208+39.068</f>
        <v>68.275999999999996</v>
      </c>
      <c r="J215">
        <v>59.304000000000002</v>
      </c>
      <c r="K215">
        <f>(4.257+2.461+2.461)/3</f>
        <v>3.0596666666666668</v>
      </c>
      <c r="L215" s="8">
        <v>1</v>
      </c>
      <c r="M215" s="8" t="s">
        <v>454</v>
      </c>
      <c r="N215" s="14">
        <v>0</v>
      </c>
      <c r="O215" s="1" t="s">
        <v>179</v>
      </c>
    </row>
    <row r="216" spans="1:15" x14ac:dyDescent="0.25">
      <c r="A216" t="s">
        <v>116</v>
      </c>
      <c r="B216" t="s">
        <v>163</v>
      </c>
      <c r="D216" t="s">
        <v>749</v>
      </c>
      <c r="E216">
        <v>25</v>
      </c>
      <c r="F216" t="s">
        <v>142</v>
      </c>
      <c r="G216">
        <v>3</v>
      </c>
      <c r="H216">
        <v>4</v>
      </c>
      <c r="I216">
        <f>49.925+16.051</f>
        <v>65.975999999999999</v>
      </c>
      <c r="J216">
        <v>35.686</v>
      </c>
      <c r="K216">
        <f>(2.436+3.543+2.657)/3</f>
        <v>2.8786666666666663</v>
      </c>
      <c r="L216" s="8">
        <v>1</v>
      </c>
      <c r="M216" s="8" t="s">
        <v>454</v>
      </c>
      <c r="N216" s="14">
        <v>0</v>
      </c>
      <c r="O216" s="1" t="s">
        <v>176</v>
      </c>
    </row>
    <row r="217" spans="1:15" x14ac:dyDescent="0.25">
      <c r="A217" t="s">
        <v>116</v>
      </c>
      <c r="B217" t="s">
        <v>163</v>
      </c>
      <c r="D217" t="s">
        <v>749</v>
      </c>
      <c r="E217">
        <v>26</v>
      </c>
      <c r="F217" t="s">
        <v>143</v>
      </c>
      <c r="G217">
        <v>3</v>
      </c>
      <c r="H217">
        <v>3</v>
      </c>
      <c r="I217">
        <f>100.756+23.558</f>
        <v>124.31399999999999</v>
      </c>
      <c r="J217">
        <v>38.061999999999998</v>
      </c>
      <c r="K217">
        <f>(3.459+2.326+1.409)/3</f>
        <v>2.3980000000000001</v>
      </c>
      <c r="L217" s="8">
        <v>1</v>
      </c>
      <c r="M217" s="8" t="s">
        <v>454</v>
      </c>
      <c r="N217" s="14">
        <v>0</v>
      </c>
      <c r="O217" s="1" t="s">
        <v>169</v>
      </c>
    </row>
    <row r="218" spans="1:15" x14ac:dyDescent="0.25">
      <c r="A218" t="s">
        <v>116</v>
      </c>
      <c r="B218" t="s">
        <v>163</v>
      </c>
      <c r="D218" t="s">
        <v>749</v>
      </c>
      <c r="E218">
        <v>27</v>
      </c>
      <c r="F218" t="s">
        <v>144</v>
      </c>
      <c r="G218">
        <v>3</v>
      </c>
      <c r="H218">
        <v>4</v>
      </c>
      <c r="I218">
        <v>75.531999999999996</v>
      </c>
      <c r="J218">
        <v>20.373999999999999</v>
      </c>
      <c r="K218">
        <v>4</v>
      </c>
      <c r="L218" s="8">
        <v>0</v>
      </c>
      <c r="M218" s="8" t="s">
        <v>451</v>
      </c>
      <c r="N218" s="14" t="s">
        <v>452</v>
      </c>
      <c r="O218" s="1" t="s">
        <v>176</v>
      </c>
    </row>
    <row r="219" spans="1:15" x14ac:dyDescent="0.25">
      <c r="A219" t="s">
        <v>116</v>
      </c>
      <c r="B219" t="s">
        <v>163</v>
      </c>
      <c r="D219" t="s">
        <v>749</v>
      </c>
      <c r="E219">
        <v>28</v>
      </c>
      <c r="F219" t="s">
        <v>145</v>
      </c>
      <c r="G219">
        <v>3</v>
      </c>
      <c r="H219">
        <v>3</v>
      </c>
      <c r="I219">
        <f>82.228+26.871</f>
        <v>109.09899999999999</v>
      </c>
      <c r="J219">
        <v>38.677</v>
      </c>
      <c r="K219">
        <f>(4.303+3.19)/2</f>
        <v>3.7465000000000002</v>
      </c>
      <c r="L219" s="8">
        <v>1</v>
      </c>
      <c r="M219" s="8" t="s">
        <v>451</v>
      </c>
      <c r="N219" s="14">
        <v>12.974</v>
      </c>
    </row>
    <row r="220" spans="1:15" x14ac:dyDescent="0.25">
      <c r="A220" t="s">
        <v>116</v>
      </c>
      <c r="B220" t="s">
        <v>163</v>
      </c>
      <c r="D220" t="s">
        <v>749</v>
      </c>
      <c r="E220">
        <v>29</v>
      </c>
      <c r="F220" t="s">
        <v>146</v>
      </c>
      <c r="G220">
        <v>3</v>
      </c>
      <c r="H220">
        <v>3</v>
      </c>
      <c r="I220">
        <f>59.805+41.852</f>
        <v>101.657</v>
      </c>
      <c r="J220">
        <v>25.324000000000002</v>
      </c>
      <c r="K220">
        <f>(3.788+4.286+3.675)/3</f>
        <v>3.9163333333333328</v>
      </c>
      <c r="L220" s="8">
        <v>1</v>
      </c>
      <c r="M220" s="8" t="s">
        <v>454</v>
      </c>
      <c r="N220" s="14">
        <v>0</v>
      </c>
    </row>
    <row r="221" spans="1:15" x14ac:dyDescent="0.25">
      <c r="A221" t="s">
        <v>116</v>
      </c>
      <c r="B221" t="s">
        <v>163</v>
      </c>
      <c r="D221" t="s">
        <v>749</v>
      </c>
      <c r="E221">
        <v>30</v>
      </c>
      <c r="F221" t="s">
        <v>147</v>
      </c>
      <c r="G221">
        <v>3</v>
      </c>
      <c r="H221">
        <v>4</v>
      </c>
      <c r="I221">
        <v>65.341999999999999</v>
      </c>
      <c r="J221">
        <v>24.068000000000001</v>
      </c>
      <c r="K221">
        <f>(2.45+2.395)/2</f>
        <v>2.4225000000000003</v>
      </c>
      <c r="L221" s="8">
        <v>0</v>
      </c>
      <c r="M221" s="8" t="s">
        <v>451</v>
      </c>
      <c r="N221" s="14" t="s">
        <v>452</v>
      </c>
    </row>
    <row r="222" spans="1:15" x14ac:dyDescent="0.25">
      <c r="A222" t="s">
        <v>116</v>
      </c>
      <c r="B222" t="s">
        <v>163</v>
      </c>
      <c r="D222" t="s">
        <v>749</v>
      </c>
      <c r="E222">
        <v>31</v>
      </c>
      <c r="F222" t="s">
        <v>148</v>
      </c>
      <c r="G222">
        <v>3</v>
      </c>
      <c r="H222">
        <v>4</v>
      </c>
      <c r="I222">
        <v>71.182000000000002</v>
      </c>
      <c r="J222">
        <v>18.451000000000001</v>
      </c>
      <c r="K222">
        <f>(3.758+3.01+3.081)/3</f>
        <v>3.2829999999999999</v>
      </c>
      <c r="L222" s="8">
        <v>0</v>
      </c>
      <c r="M222" s="8" t="s">
        <v>451</v>
      </c>
      <c r="N222" s="14" t="s">
        <v>452</v>
      </c>
    </row>
    <row r="223" spans="1:15" x14ac:dyDescent="0.25">
      <c r="A223" t="s">
        <v>116</v>
      </c>
      <c r="B223" t="s">
        <v>163</v>
      </c>
      <c r="D223" t="s">
        <v>749</v>
      </c>
      <c r="E223">
        <v>32</v>
      </c>
      <c r="F223" t="s">
        <v>149</v>
      </c>
      <c r="G223">
        <v>3</v>
      </c>
      <c r="H223">
        <v>4</v>
      </c>
      <c r="I223">
        <v>102.907</v>
      </c>
      <c r="J223">
        <v>25.099</v>
      </c>
      <c r="K223">
        <f>(2.45+2.739)/2</f>
        <v>2.5945</v>
      </c>
      <c r="L223" s="8">
        <v>0</v>
      </c>
      <c r="M223" s="8" t="s">
        <v>451</v>
      </c>
      <c r="N223" s="14" t="s">
        <v>452</v>
      </c>
    </row>
    <row r="224" spans="1:15" x14ac:dyDescent="0.25">
      <c r="A224" t="s">
        <v>116</v>
      </c>
      <c r="B224" t="s">
        <v>163</v>
      </c>
      <c r="D224" t="s">
        <v>749</v>
      </c>
      <c r="E224">
        <v>33</v>
      </c>
      <c r="F224" t="s">
        <v>150</v>
      </c>
      <c r="G224">
        <v>3</v>
      </c>
      <c r="H224">
        <v>4</v>
      </c>
      <c r="I224">
        <v>95.28</v>
      </c>
      <c r="J224">
        <v>24.638999999999999</v>
      </c>
      <c r="K224">
        <f>(2.306+3.675)/2</f>
        <v>2.9904999999999999</v>
      </c>
      <c r="L224" s="8">
        <v>0</v>
      </c>
      <c r="M224" s="8" t="s">
        <v>451</v>
      </c>
      <c r="N224" s="14" t="s">
        <v>452</v>
      </c>
    </row>
    <row r="225" spans="1:16" x14ac:dyDescent="0.25">
      <c r="A225" t="s">
        <v>116</v>
      </c>
      <c r="B225" t="s">
        <v>163</v>
      </c>
      <c r="D225" t="s">
        <v>749</v>
      </c>
      <c r="E225">
        <v>34</v>
      </c>
      <c r="F225" t="s">
        <v>151</v>
      </c>
      <c r="G225">
        <v>3</v>
      </c>
      <c r="H225">
        <v>4</v>
      </c>
      <c r="I225">
        <f>77.754+11.619</f>
        <v>89.373000000000005</v>
      </c>
      <c r="J225">
        <v>16.414999999999999</v>
      </c>
      <c r="K225">
        <f>(2.731+4.82)/2</f>
        <v>3.7755000000000001</v>
      </c>
      <c r="L225" s="8">
        <v>1</v>
      </c>
      <c r="M225" s="8" t="s">
        <v>454</v>
      </c>
      <c r="N225" s="14">
        <v>0</v>
      </c>
    </row>
    <row r="226" spans="1:16" x14ac:dyDescent="0.25">
      <c r="A226" t="s">
        <v>116</v>
      </c>
      <c r="B226" t="s">
        <v>163</v>
      </c>
      <c r="D226" t="s">
        <v>749</v>
      </c>
      <c r="E226">
        <v>35</v>
      </c>
      <c r="F226" t="s">
        <v>152</v>
      </c>
      <c r="G226">
        <v>3</v>
      </c>
      <c r="H226">
        <v>3</v>
      </c>
      <c r="I226">
        <v>57.238</v>
      </c>
      <c r="J226">
        <v>39.359000000000002</v>
      </c>
      <c r="K226">
        <f>(2.395+3.008)/2</f>
        <v>2.7015000000000002</v>
      </c>
      <c r="L226" s="8">
        <v>0</v>
      </c>
      <c r="M226" s="8" t="s">
        <v>451</v>
      </c>
      <c r="N226" s="14" t="s">
        <v>452</v>
      </c>
    </row>
    <row r="227" spans="1:16" x14ac:dyDescent="0.25">
      <c r="A227" t="s">
        <v>116</v>
      </c>
      <c r="B227" t="s">
        <v>163</v>
      </c>
      <c r="D227" t="s">
        <v>749</v>
      </c>
      <c r="E227">
        <v>36</v>
      </c>
      <c r="F227" t="s">
        <v>153</v>
      </c>
      <c r="G227">
        <v>3</v>
      </c>
      <c r="H227">
        <v>3</v>
      </c>
      <c r="I227">
        <f>39.154+53.147</f>
        <v>92.301000000000002</v>
      </c>
      <c r="J227">
        <v>49.526000000000003</v>
      </c>
      <c r="K227">
        <f>(2.349+4.535)/2</f>
        <v>3.4420000000000002</v>
      </c>
      <c r="L227" s="8">
        <v>1</v>
      </c>
      <c r="M227" s="8" t="s">
        <v>454</v>
      </c>
      <c r="N227" s="14">
        <v>0</v>
      </c>
    </row>
    <row r="228" spans="1:16" x14ac:dyDescent="0.25">
      <c r="A228" t="s">
        <v>116</v>
      </c>
      <c r="B228" t="s">
        <v>163</v>
      </c>
      <c r="D228" t="s">
        <v>749</v>
      </c>
      <c r="E228">
        <v>37</v>
      </c>
      <c r="F228" t="s">
        <v>154</v>
      </c>
      <c r="G228">
        <v>3</v>
      </c>
      <c r="H228">
        <v>3</v>
      </c>
      <c r="I228">
        <v>107.34399999999999</v>
      </c>
      <c r="J228">
        <v>34.798000000000002</v>
      </c>
      <c r="K228">
        <f>(3.127+2.521)/2</f>
        <v>2.8239999999999998</v>
      </c>
      <c r="L228" s="8">
        <v>0</v>
      </c>
      <c r="M228" s="8" t="s">
        <v>451</v>
      </c>
      <c r="N228" s="14" t="s">
        <v>452</v>
      </c>
    </row>
    <row r="229" spans="1:16" x14ac:dyDescent="0.25">
      <c r="A229" t="s">
        <v>116</v>
      </c>
      <c r="B229" t="s">
        <v>163</v>
      </c>
      <c r="D229" t="s">
        <v>749</v>
      </c>
      <c r="E229">
        <v>38</v>
      </c>
      <c r="F229" t="s">
        <v>155</v>
      </c>
      <c r="G229">
        <v>3</v>
      </c>
      <c r="H229">
        <v>3</v>
      </c>
      <c r="I229">
        <v>78.283000000000001</v>
      </c>
      <c r="J229">
        <v>46.122</v>
      </c>
      <c r="K229">
        <f>(4.338+2.678)/2</f>
        <v>3.508</v>
      </c>
      <c r="L229" s="8">
        <v>0</v>
      </c>
      <c r="M229" s="8" t="s">
        <v>451</v>
      </c>
      <c r="N229" s="14" t="s">
        <v>452</v>
      </c>
    </row>
    <row r="230" spans="1:16" x14ac:dyDescent="0.25">
      <c r="A230" t="s">
        <v>116</v>
      </c>
      <c r="B230" t="s">
        <v>163</v>
      </c>
      <c r="D230" t="s">
        <v>749</v>
      </c>
      <c r="E230">
        <v>39</v>
      </c>
      <c r="F230" t="s">
        <v>156</v>
      </c>
      <c r="G230">
        <v>3</v>
      </c>
      <c r="H230">
        <v>3</v>
      </c>
      <c r="I230">
        <f>84.29+13.53</f>
        <v>97.820000000000007</v>
      </c>
      <c r="J230">
        <v>33.133000000000003</v>
      </c>
      <c r="K230">
        <f>(2.836+2.521)/2</f>
        <v>2.6784999999999997</v>
      </c>
      <c r="L230" s="8">
        <v>1</v>
      </c>
      <c r="M230" s="8" t="s">
        <v>451</v>
      </c>
      <c r="N230" s="14">
        <v>2.7869999999999999</v>
      </c>
      <c r="O230" s="1" t="s">
        <v>177</v>
      </c>
    </row>
    <row r="231" spans="1:16" x14ac:dyDescent="0.25">
      <c r="A231" t="s">
        <v>116</v>
      </c>
      <c r="B231" t="s">
        <v>163</v>
      </c>
      <c r="D231" t="s">
        <v>749</v>
      </c>
      <c r="E231">
        <v>40</v>
      </c>
      <c r="F231" t="s">
        <v>157</v>
      </c>
      <c r="G231">
        <v>3</v>
      </c>
      <c r="H231">
        <v>3</v>
      </c>
      <c r="I231">
        <f>90.617+9.016</f>
        <v>99.63300000000001</v>
      </c>
      <c r="J231">
        <v>26.187999999999999</v>
      </c>
      <c r="K231">
        <f>(2.228+2.598)/2</f>
        <v>2.4130000000000003</v>
      </c>
      <c r="L231" s="8">
        <v>1</v>
      </c>
      <c r="M231" s="8" t="s">
        <v>451</v>
      </c>
      <c r="N231" s="14">
        <v>44.335999999999999</v>
      </c>
      <c r="O231" s="1" t="s">
        <v>177</v>
      </c>
    </row>
    <row r="232" spans="1:16" x14ac:dyDescent="0.25">
      <c r="A232" t="s">
        <v>116</v>
      </c>
      <c r="B232" t="s">
        <v>163</v>
      </c>
      <c r="D232" t="s">
        <v>749</v>
      </c>
      <c r="E232">
        <v>41</v>
      </c>
      <c r="F232" t="s">
        <v>159</v>
      </c>
      <c r="G232">
        <v>3</v>
      </c>
      <c r="H232">
        <v>3</v>
      </c>
      <c r="I232">
        <f>81.134+7.119</f>
        <v>88.253</v>
      </c>
      <c r="J232">
        <v>22.465</v>
      </c>
      <c r="K232">
        <f>(1.783+1.495+2.521)/3</f>
        <v>1.9329999999999998</v>
      </c>
      <c r="L232" s="8">
        <v>1</v>
      </c>
      <c r="M232" s="8" t="s">
        <v>454</v>
      </c>
      <c r="N232" s="14">
        <v>0</v>
      </c>
    </row>
    <row r="233" spans="1:16" x14ac:dyDescent="0.25">
      <c r="A233" t="s">
        <v>257</v>
      </c>
      <c r="B233" t="s">
        <v>746</v>
      </c>
      <c r="C233" t="s">
        <v>748</v>
      </c>
      <c r="D233" t="s">
        <v>749</v>
      </c>
      <c r="E233">
        <v>1</v>
      </c>
      <c r="F233" t="s">
        <v>258</v>
      </c>
      <c r="G233">
        <v>3</v>
      </c>
      <c r="H233">
        <v>3</v>
      </c>
      <c r="I233">
        <f>47.03+38.906</f>
        <v>85.936000000000007</v>
      </c>
      <c r="J233">
        <v>39.216999999999999</v>
      </c>
      <c r="K233">
        <f>(1.819+6.03+9.584)/3</f>
        <v>5.8109999999999999</v>
      </c>
      <c r="L233" s="8">
        <v>1</v>
      </c>
      <c r="M233" s="8" t="s">
        <v>454</v>
      </c>
      <c r="N233" s="14">
        <v>0</v>
      </c>
      <c r="O233" s="1" t="s">
        <v>259</v>
      </c>
      <c r="P233" s="6" t="s">
        <v>332</v>
      </c>
    </row>
    <row r="234" spans="1:16" x14ac:dyDescent="0.25">
      <c r="A234" t="s">
        <v>257</v>
      </c>
      <c r="B234" t="s">
        <v>746</v>
      </c>
      <c r="C234" t="s">
        <v>748</v>
      </c>
      <c r="D234" t="s">
        <v>749</v>
      </c>
      <c r="E234">
        <v>2</v>
      </c>
      <c r="F234" t="s">
        <v>260</v>
      </c>
      <c r="G234">
        <v>3</v>
      </c>
      <c r="H234">
        <v>3</v>
      </c>
      <c r="I234">
        <v>58.459000000000003</v>
      </c>
      <c r="J234">
        <v>36.564999999999998</v>
      </c>
      <c r="K234">
        <f>(10.206+8.707)/2</f>
        <v>9.4565000000000001</v>
      </c>
      <c r="L234" s="8">
        <v>0</v>
      </c>
      <c r="M234" s="8" t="s">
        <v>451</v>
      </c>
      <c r="N234" s="14" t="s">
        <v>452</v>
      </c>
      <c r="O234" s="1" t="s">
        <v>259</v>
      </c>
    </row>
    <row r="235" spans="1:16" x14ac:dyDescent="0.25">
      <c r="A235" t="s">
        <v>257</v>
      </c>
      <c r="B235" t="s">
        <v>746</v>
      </c>
      <c r="C235" t="s">
        <v>748</v>
      </c>
      <c r="D235" t="s">
        <v>749</v>
      </c>
      <c r="E235">
        <v>3</v>
      </c>
      <c r="F235" t="s">
        <v>261</v>
      </c>
      <c r="G235">
        <v>3</v>
      </c>
      <c r="H235">
        <v>3</v>
      </c>
      <c r="I235">
        <f>27.638+18.066+6.323</f>
        <v>52.027000000000001</v>
      </c>
      <c r="J235">
        <v>36.619999999999997</v>
      </c>
      <c r="K235">
        <f>(4.271+7.125+7.388)/3</f>
        <v>6.261333333333333</v>
      </c>
      <c r="L235" s="8">
        <v>2</v>
      </c>
      <c r="M235" s="8" t="s">
        <v>454</v>
      </c>
      <c r="N235" s="14">
        <v>0</v>
      </c>
    </row>
    <row r="236" spans="1:16" x14ac:dyDescent="0.25">
      <c r="A236" t="s">
        <v>257</v>
      </c>
      <c r="B236" t="s">
        <v>746</v>
      </c>
      <c r="C236" t="s">
        <v>748</v>
      </c>
      <c r="D236" t="s">
        <v>749</v>
      </c>
      <c r="E236">
        <v>4</v>
      </c>
      <c r="F236" t="s">
        <v>262</v>
      </c>
      <c r="G236">
        <v>3</v>
      </c>
      <c r="H236">
        <v>3</v>
      </c>
      <c r="I236">
        <f>73.024+26.4</f>
        <v>99.424000000000007</v>
      </c>
      <c r="J236">
        <v>43.753999999999998</v>
      </c>
      <c r="K236">
        <f>(1.797+2.94)/2</f>
        <v>2.3685</v>
      </c>
      <c r="L236" s="8">
        <v>1</v>
      </c>
      <c r="M236" s="8" t="s">
        <v>451</v>
      </c>
      <c r="N236" s="14">
        <v>7.1760000000000002</v>
      </c>
      <c r="O236" s="1" t="s">
        <v>171</v>
      </c>
    </row>
    <row r="237" spans="1:16" x14ac:dyDescent="0.25">
      <c r="A237" t="s">
        <v>257</v>
      </c>
      <c r="B237" t="s">
        <v>746</v>
      </c>
      <c r="C237" t="s">
        <v>748</v>
      </c>
      <c r="D237" t="s">
        <v>749</v>
      </c>
      <c r="E237">
        <v>5</v>
      </c>
      <c r="F237" t="s">
        <v>263</v>
      </c>
      <c r="G237">
        <v>3</v>
      </c>
      <c r="H237">
        <v>3</v>
      </c>
      <c r="I237">
        <v>60.923000000000002</v>
      </c>
      <c r="J237">
        <v>47.771000000000001</v>
      </c>
      <c r="K237">
        <f>(3.421+3.066)/2</f>
        <v>3.2435</v>
      </c>
      <c r="L237" s="8">
        <v>0</v>
      </c>
      <c r="M237" s="8" t="s">
        <v>451</v>
      </c>
      <c r="N237" s="14" t="s">
        <v>452</v>
      </c>
    </row>
    <row r="238" spans="1:16" x14ac:dyDescent="0.25">
      <c r="A238" t="s">
        <v>257</v>
      </c>
      <c r="B238" t="s">
        <v>746</v>
      </c>
      <c r="C238" t="s">
        <v>748</v>
      </c>
      <c r="D238" t="s">
        <v>749</v>
      </c>
      <c r="E238">
        <v>6</v>
      </c>
      <c r="F238" t="s">
        <v>264</v>
      </c>
      <c r="G238">
        <v>3</v>
      </c>
      <c r="H238">
        <v>3</v>
      </c>
      <c r="I238">
        <f>57.957+14.962+3.822</f>
        <v>76.741</v>
      </c>
      <c r="J238">
        <v>46.655999999999999</v>
      </c>
      <c r="K238">
        <f>(2.491+3.643+2.159)/3</f>
        <v>2.7643333333333331</v>
      </c>
      <c r="L238" s="8">
        <v>2</v>
      </c>
      <c r="M238" s="8" t="s">
        <v>454</v>
      </c>
      <c r="N238" s="14">
        <v>0</v>
      </c>
    </row>
    <row r="239" spans="1:16" x14ac:dyDescent="0.25">
      <c r="A239" t="s">
        <v>257</v>
      </c>
      <c r="B239" t="s">
        <v>746</v>
      </c>
      <c r="C239" t="s">
        <v>748</v>
      </c>
      <c r="D239" t="s">
        <v>749</v>
      </c>
      <c r="E239">
        <v>7</v>
      </c>
      <c r="F239" t="s">
        <v>265</v>
      </c>
      <c r="G239">
        <v>3</v>
      </c>
      <c r="H239">
        <v>3</v>
      </c>
      <c r="I239">
        <f>30.761+30.327</f>
        <v>61.088000000000001</v>
      </c>
      <c r="J239">
        <v>56.619</v>
      </c>
      <c r="K239">
        <f>(2.678+3.03+1.515)/3</f>
        <v>2.4076666666666666</v>
      </c>
      <c r="L239" s="8">
        <v>1</v>
      </c>
      <c r="M239" s="8" t="s">
        <v>454</v>
      </c>
      <c r="N239" s="14">
        <v>0</v>
      </c>
    </row>
    <row r="240" spans="1:16" x14ac:dyDescent="0.25">
      <c r="A240" t="s">
        <v>257</v>
      </c>
      <c r="B240" t="s">
        <v>746</v>
      </c>
      <c r="C240" t="s">
        <v>748</v>
      </c>
      <c r="D240" t="s">
        <v>749</v>
      </c>
      <c r="E240">
        <v>8</v>
      </c>
      <c r="F240" t="s">
        <v>266</v>
      </c>
      <c r="G240">
        <v>3</v>
      </c>
      <c r="H240">
        <v>3</v>
      </c>
      <c r="I240">
        <v>59.161000000000001</v>
      </c>
      <c r="J240">
        <v>43.156999999999996</v>
      </c>
      <c r="K240">
        <f>(2.29+2.619)/2</f>
        <v>2.4545000000000003</v>
      </c>
      <c r="L240" s="8">
        <v>0</v>
      </c>
      <c r="M240" s="8" t="s">
        <v>451</v>
      </c>
      <c r="N240" s="14" t="s">
        <v>452</v>
      </c>
    </row>
    <row r="241" spans="1:14" x14ac:dyDescent="0.25">
      <c r="A241" t="s">
        <v>257</v>
      </c>
      <c r="B241" t="s">
        <v>746</v>
      </c>
      <c r="C241" t="s">
        <v>748</v>
      </c>
      <c r="D241" t="s">
        <v>749</v>
      </c>
      <c r="E241">
        <v>9</v>
      </c>
      <c r="F241" t="s">
        <v>267</v>
      </c>
      <c r="G241">
        <v>3</v>
      </c>
      <c r="H241">
        <v>3</v>
      </c>
      <c r="I241">
        <f>86.386+22.982</f>
        <v>109.36799999999999</v>
      </c>
      <c r="J241">
        <v>36.424999999999997</v>
      </c>
      <c r="K241">
        <f>(2.373+3.22)/2</f>
        <v>2.7965</v>
      </c>
      <c r="L241" s="8">
        <v>2</v>
      </c>
      <c r="M241" s="8" t="s">
        <v>451</v>
      </c>
      <c r="N241" s="14">
        <v>8.9540000000000006</v>
      </c>
    </row>
    <row r="242" spans="1:14" x14ac:dyDescent="0.25">
      <c r="A242" t="s">
        <v>257</v>
      </c>
      <c r="B242" t="s">
        <v>746</v>
      </c>
      <c r="C242" t="s">
        <v>748</v>
      </c>
      <c r="D242" t="s">
        <v>749</v>
      </c>
      <c r="E242">
        <v>10</v>
      </c>
      <c r="F242" t="s">
        <v>268</v>
      </c>
      <c r="G242">
        <v>3</v>
      </c>
      <c r="H242">
        <v>3</v>
      </c>
      <c r="I242">
        <f>46.015+39.135</f>
        <v>85.15</v>
      </c>
      <c r="J242">
        <v>43.984999999999999</v>
      </c>
      <c r="K242">
        <f>(1.527+1.442+2.143)/3</f>
        <v>1.704</v>
      </c>
      <c r="L242" s="8">
        <v>1</v>
      </c>
      <c r="M242" s="8" t="s">
        <v>454</v>
      </c>
      <c r="N242" s="14">
        <v>0</v>
      </c>
    </row>
    <row r="243" spans="1:14" x14ac:dyDescent="0.25">
      <c r="A243" t="s">
        <v>257</v>
      </c>
      <c r="B243" t="s">
        <v>746</v>
      </c>
      <c r="C243" t="s">
        <v>748</v>
      </c>
      <c r="D243" t="s">
        <v>749</v>
      </c>
      <c r="E243">
        <v>11</v>
      </c>
      <c r="F243" t="s">
        <v>269</v>
      </c>
      <c r="G243">
        <v>3</v>
      </c>
      <c r="H243">
        <v>4</v>
      </c>
      <c r="I243">
        <f>76.314+10.873</f>
        <v>87.186999999999998</v>
      </c>
      <c r="J243">
        <v>26.992000000000001</v>
      </c>
      <c r="K243">
        <f>(1.629+1.787)/2</f>
        <v>1.708</v>
      </c>
      <c r="L243" s="8">
        <v>1</v>
      </c>
      <c r="M243" s="8" t="s">
        <v>454</v>
      </c>
      <c r="N243" s="14">
        <v>0</v>
      </c>
    </row>
    <row r="244" spans="1:14" x14ac:dyDescent="0.25">
      <c r="A244" t="s">
        <v>257</v>
      </c>
      <c r="B244" t="s">
        <v>746</v>
      </c>
      <c r="C244" t="s">
        <v>748</v>
      </c>
      <c r="D244" t="s">
        <v>749</v>
      </c>
      <c r="E244">
        <v>12</v>
      </c>
      <c r="F244" t="s">
        <v>270</v>
      </c>
      <c r="G244">
        <v>3</v>
      </c>
      <c r="H244">
        <v>3</v>
      </c>
      <c r="I244">
        <f>38.478+42.778</f>
        <v>81.256</v>
      </c>
      <c r="J244">
        <v>47.648000000000003</v>
      </c>
      <c r="K244">
        <f>(1.663+2.619+1.607+2.703)/4</f>
        <v>2.1480000000000001</v>
      </c>
      <c r="L244" s="8">
        <v>2</v>
      </c>
      <c r="M244" s="8" t="s">
        <v>454</v>
      </c>
      <c r="N244" s="14">
        <v>0</v>
      </c>
    </row>
    <row r="245" spans="1:14" x14ac:dyDescent="0.25">
      <c r="A245" t="s">
        <v>257</v>
      </c>
      <c r="B245" t="s">
        <v>746</v>
      </c>
      <c r="C245" t="s">
        <v>748</v>
      </c>
      <c r="D245" t="s">
        <v>749</v>
      </c>
      <c r="E245">
        <v>13</v>
      </c>
      <c r="F245" t="s">
        <v>271</v>
      </c>
      <c r="G245">
        <v>3</v>
      </c>
      <c r="H245">
        <v>3</v>
      </c>
      <c r="I245">
        <f>49.786+19.255+13.607+5.133</f>
        <v>87.780999999999992</v>
      </c>
      <c r="J245">
        <v>62.095999999999997</v>
      </c>
      <c r="K245">
        <f>(2.301+2.94+4.158+2.816)/4</f>
        <v>3.05375</v>
      </c>
      <c r="L245" s="8">
        <v>3</v>
      </c>
      <c r="M245" s="8" t="s">
        <v>454</v>
      </c>
      <c r="N245" s="14">
        <v>0</v>
      </c>
    </row>
    <row r="246" spans="1:14" x14ac:dyDescent="0.25">
      <c r="A246" t="s">
        <v>257</v>
      </c>
      <c r="B246" t="s">
        <v>746</v>
      </c>
      <c r="C246" t="s">
        <v>748</v>
      </c>
      <c r="D246" t="s">
        <v>749</v>
      </c>
      <c r="E246">
        <v>14</v>
      </c>
      <c r="F246" t="s">
        <v>272</v>
      </c>
      <c r="G246">
        <v>3</v>
      </c>
      <c r="H246">
        <v>3</v>
      </c>
      <c r="I246">
        <v>82.765000000000001</v>
      </c>
      <c r="J246">
        <v>44.91</v>
      </c>
      <c r="K246">
        <f>(3.388+2.469+4.066)/3</f>
        <v>3.3076666666666661</v>
      </c>
      <c r="L246" s="8">
        <v>2</v>
      </c>
      <c r="M246" s="8" t="s">
        <v>454</v>
      </c>
      <c r="N246" s="14">
        <v>0</v>
      </c>
    </row>
    <row r="247" spans="1:14" x14ac:dyDescent="0.25">
      <c r="A247" t="s">
        <v>257</v>
      </c>
      <c r="B247" t="s">
        <v>746</v>
      </c>
      <c r="C247" t="s">
        <v>748</v>
      </c>
      <c r="D247" t="s">
        <v>749</v>
      </c>
      <c r="E247">
        <v>15</v>
      </c>
      <c r="F247" t="s">
        <v>273</v>
      </c>
      <c r="G247">
        <v>3</v>
      </c>
      <c r="H247">
        <v>4</v>
      </c>
      <c r="I247">
        <f>84.082+33.057+34.129</f>
        <v>151.268</v>
      </c>
      <c r="J247">
        <v>23.033999999999999</v>
      </c>
      <c r="K247">
        <f>(2.995+1.746+2.04)/3</f>
        <v>2.2603333333333331</v>
      </c>
      <c r="L247" s="8">
        <v>2</v>
      </c>
      <c r="M247" s="8" t="s">
        <v>454</v>
      </c>
      <c r="N247" s="14">
        <v>0</v>
      </c>
    </row>
    <row r="248" spans="1:14" x14ac:dyDescent="0.25">
      <c r="A248" t="s">
        <v>257</v>
      </c>
      <c r="B248" t="s">
        <v>746</v>
      </c>
      <c r="C248" t="s">
        <v>748</v>
      </c>
      <c r="D248" t="s">
        <v>749</v>
      </c>
      <c r="E248">
        <v>16</v>
      </c>
      <c r="F248" t="s">
        <v>274</v>
      </c>
      <c r="G248">
        <v>3</v>
      </c>
      <c r="H248">
        <v>4</v>
      </c>
      <c r="I248">
        <f>85.695+46.942</f>
        <v>132.637</v>
      </c>
      <c r="J248">
        <v>29.108000000000001</v>
      </c>
      <c r="K248">
        <f>(3.492+3.388+1.977)/3</f>
        <v>2.9523333333333333</v>
      </c>
      <c r="L248" s="8">
        <v>2</v>
      </c>
      <c r="M248" s="8" t="s">
        <v>454</v>
      </c>
      <c r="N248" s="14">
        <v>0</v>
      </c>
    </row>
    <row r="249" spans="1:14" x14ac:dyDescent="0.25">
      <c r="A249" t="s">
        <v>257</v>
      </c>
      <c r="B249" t="s">
        <v>746</v>
      </c>
      <c r="C249" t="s">
        <v>748</v>
      </c>
      <c r="D249" t="s">
        <v>749</v>
      </c>
      <c r="E249">
        <v>17</v>
      </c>
      <c r="F249" t="s">
        <v>275</v>
      </c>
      <c r="G249">
        <v>3</v>
      </c>
      <c r="H249">
        <v>3</v>
      </c>
      <c r="I249">
        <f>120.482+37.613</f>
        <v>158.095</v>
      </c>
      <c r="J249">
        <v>51.140999999999998</v>
      </c>
      <c r="K249">
        <f>(2.491+4.256)/2</f>
        <v>3.3734999999999999</v>
      </c>
      <c r="L249" s="8">
        <v>1</v>
      </c>
      <c r="M249" s="8" t="s">
        <v>451</v>
      </c>
      <c r="N249" s="14">
        <v>7.7439999999999998</v>
      </c>
    </row>
    <row r="250" spans="1:14" x14ac:dyDescent="0.25">
      <c r="A250" t="s">
        <v>257</v>
      </c>
      <c r="B250" t="s">
        <v>746</v>
      </c>
      <c r="C250" t="s">
        <v>748</v>
      </c>
      <c r="D250" t="s">
        <v>749</v>
      </c>
      <c r="E250">
        <v>18</v>
      </c>
      <c r="F250" t="s">
        <v>276</v>
      </c>
      <c r="G250">
        <v>3</v>
      </c>
      <c r="H250">
        <v>3</v>
      </c>
      <c r="I250">
        <f>72.237+20.58</f>
        <v>92.816999999999993</v>
      </c>
      <c r="J250">
        <v>35.744999999999997</v>
      </c>
      <c r="K250">
        <f>(2.092+1.95)/2</f>
        <v>2.0209999999999999</v>
      </c>
      <c r="L250" s="8">
        <v>1</v>
      </c>
      <c r="M250" s="8" t="s">
        <v>451</v>
      </c>
      <c r="N250" s="14">
        <v>8.4890000000000008</v>
      </c>
    </row>
    <row r="251" spans="1:14" x14ac:dyDescent="0.25">
      <c r="A251" t="s">
        <v>257</v>
      </c>
      <c r="B251" t="s">
        <v>746</v>
      </c>
      <c r="C251" t="s">
        <v>748</v>
      </c>
      <c r="D251" t="s">
        <v>749</v>
      </c>
      <c r="E251">
        <v>19</v>
      </c>
      <c r="F251" t="s">
        <v>277</v>
      </c>
      <c r="G251">
        <v>3</v>
      </c>
      <c r="H251">
        <v>4</v>
      </c>
      <c r="I251">
        <v>65.290000000000006</v>
      </c>
      <c r="J251">
        <v>30.391999999999999</v>
      </c>
      <c r="K251">
        <f>(2.083+2.462)/2</f>
        <v>2.2725</v>
      </c>
      <c r="L251" s="8">
        <v>0</v>
      </c>
      <c r="M251" s="8" t="s">
        <v>451</v>
      </c>
      <c r="N251" s="14" t="s">
        <v>452</v>
      </c>
    </row>
    <row r="252" spans="1:14" x14ac:dyDescent="0.25">
      <c r="A252" t="s">
        <v>257</v>
      </c>
      <c r="B252" t="s">
        <v>746</v>
      </c>
      <c r="C252" t="s">
        <v>748</v>
      </c>
      <c r="D252" t="s">
        <v>749</v>
      </c>
      <c r="E252">
        <v>20</v>
      </c>
      <c r="F252" t="s">
        <v>278</v>
      </c>
      <c r="G252">
        <v>3</v>
      </c>
      <c r="H252">
        <v>3</v>
      </c>
      <c r="I252">
        <v>101.958</v>
      </c>
      <c r="J252">
        <v>38.164000000000001</v>
      </c>
      <c r="K252">
        <f>(2.427+3.125)/2</f>
        <v>2.7759999999999998</v>
      </c>
      <c r="L252" s="8">
        <v>0</v>
      </c>
      <c r="M252" s="8" t="s">
        <v>451</v>
      </c>
      <c r="N252" s="14" t="s">
        <v>452</v>
      </c>
    </row>
    <row r="253" spans="1:14" x14ac:dyDescent="0.25">
      <c r="A253" t="s">
        <v>257</v>
      </c>
      <c r="B253" t="s">
        <v>746</v>
      </c>
      <c r="C253" t="s">
        <v>748</v>
      </c>
      <c r="D253" t="s">
        <v>749</v>
      </c>
      <c r="E253">
        <v>21</v>
      </c>
      <c r="F253" t="s">
        <v>279</v>
      </c>
      <c r="G253">
        <v>3</v>
      </c>
      <c r="H253">
        <v>4</v>
      </c>
      <c r="I253">
        <f>71.343+41.073</f>
        <v>112.416</v>
      </c>
      <c r="J253">
        <v>28.571000000000002</v>
      </c>
      <c r="K253">
        <f>(1.613+1.839+1.809)/3</f>
        <v>1.7536666666666667</v>
      </c>
      <c r="L253" s="8">
        <v>1</v>
      </c>
      <c r="M253" s="8" t="s">
        <v>454</v>
      </c>
      <c r="N253" s="14">
        <v>0</v>
      </c>
    </row>
    <row r="254" spans="1:14" x14ac:dyDescent="0.25">
      <c r="A254" t="s">
        <v>257</v>
      </c>
      <c r="B254" t="s">
        <v>746</v>
      </c>
      <c r="C254" t="s">
        <v>748</v>
      </c>
      <c r="D254" t="s">
        <v>749</v>
      </c>
      <c r="E254">
        <v>22</v>
      </c>
      <c r="F254" t="s">
        <v>280</v>
      </c>
      <c r="G254">
        <v>3</v>
      </c>
      <c r="H254">
        <v>3</v>
      </c>
      <c r="I254">
        <f>47.817+17.901</f>
        <v>65.718000000000004</v>
      </c>
      <c r="J254">
        <v>41.838000000000001</v>
      </c>
      <c r="K254">
        <f>(2.641+2.897)/2</f>
        <v>2.7690000000000001</v>
      </c>
      <c r="L254" s="8">
        <v>1</v>
      </c>
      <c r="M254" s="8" t="s">
        <v>451</v>
      </c>
      <c r="N254" s="14">
        <v>8.3870000000000005</v>
      </c>
    </row>
    <row r="255" spans="1:14" x14ac:dyDescent="0.25">
      <c r="A255" t="s">
        <v>257</v>
      </c>
      <c r="B255" t="s">
        <v>746</v>
      </c>
      <c r="C255" t="s">
        <v>748</v>
      </c>
      <c r="D255" t="s">
        <v>749</v>
      </c>
      <c r="E255">
        <v>23</v>
      </c>
      <c r="F255" t="s">
        <v>281</v>
      </c>
      <c r="G255">
        <v>3</v>
      </c>
      <c r="H255">
        <v>3</v>
      </c>
      <c r="I255">
        <f>61.737+17.774</f>
        <v>79.510999999999996</v>
      </c>
      <c r="J255">
        <v>41.813000000000002</v>
      </c>
      <c r="K255">
        <f>(3.414+2.761)/2</f>
        <v>3.0875000000000004</v>
      </c>
      <c r="L255" s="8">
        <v>1</v>
      </c>
      <c r="M255" s="8" t="s">
        <v>451</v>
      </c>
      <c r="N255" s="14">
        <v>4.68</v>
      </c>
    </row>
    <row r="256" spans="1:14" x14ac:dyDescent="0.25">
      <c r="A256" t="s">
        <v>257</v>
      </c>
      <c r="B256" t="s">
        <v>746</v>
      </c>
      <c r="C256" t="s">
        <v>748</v>
      </c>
      <c r="D256" t="s">
        <v>749</v>
      </c>
      <c r="E256">
        <v>24</v>
      </c>
      <c r="F256" t="s">
        <v>282</v>
      </c>
      <c r="G256">
        <v>3</v>
      </c>
      <c r="H256">
        <v>4</v>
      </c>
      <c r="I256">
        <v>105.456</v>
      </c>
      <c r="J256">
        <v>34.585000000000001</v>
      </c>
      <c r="K256">
        <f>(1.95+1.629)/2</f>
        <v>1.7894999999999999</v>
      </c>
      <c r="L256" s="8">
        <v>0</v>
      </c>
      <c r="M256" s="8" t="s">
        <v>451</v>
      </c>
      <c r="N256" s="14" t="s">
        <v>452</v>
      </c>
    </row>
    <row r="257" spans="1:15" x14ac:dyDescent="0.25">
      <c r="A257" t="s">
        <v>257</v>
      </c>
      <c r="B257" t="s">
        <v>746</v>
      </c>
      <c r="C257" t="s">
        <v>748</v>
      </c>
      <c r="D257" t="s">
        <v>749</v>
      </c>
      <c r="E257">
        <v>25</v>
      </c>
      <c r="F257" t="s">
        <v>283</v>
      </c>
      <c r="G257">
        <v>3</v>
      </c>
      <c r="H257">
        <v>3</v>
      </c>
      <c r="I257">
        <v>100.523</v>
      </c>
      <c r="J257">
        <v>44.738999999999997</v>
      </c>
      <c r="K257">
        <f>(2.246+2.619)/2</f>
        <v>2.4325000000000001</v>
      </c>
      <c r="L257" s="8">
        <v>0</v>
      </c>
      <c r="M257" s="8" t="s">
        <v>451</v>
      </c>
      <c r="N257" s="14" t="s">
        <v>452</v>
      </c>
      <c r="O257" s="1" t="s">
        <v>65</v>
      </c>
    </row>
    <row r="258" spans="1:15" x14ac:dyDescent="0.25">
      <c r="A258" t="s">
        <v>257</v>
      </c>
      <c r="B258" t="s">
        <v>746</v>
      </c>
      <c r="C258" t="s">
        <v>748</v>
      </c>
      <c r="D258" t="s">
        <v>749</v>
      </c>
      <c r="E258">
        <v>26</v>
      </c>
      <c r="F258" t="s">
        <v>284</v>
      </c>
      <c r="G258">
        <v>3</v>
      </c>
      <c r="H258">
        <v>4</v>
      </c>
      <c r="I258">
        <f>48.57+29.433</f>
        <v>78.003</v>
      </c>
      <c r="J258">
        <v>16.829999999999998</v>
      </c>
      <c r="K258">
        <f>(5.165+5.483+3.27)/3</f>
        <v>4.6393333333333331</v>
      </c>
      <c r="L258" s="8">
        <v>1</v>
      </c>
      <c r="M258" s="8" t="s">
        <v>454</v>
      </c>
      <c r="N258" s="14">
        <v>0</v>
      </c>
    </row>
    <row r="259" spans="1:15" x14ac:dyDescent="0.25">
      <c r="A259" t="s">
        <v>257</v>
      </c>
      <c r="B259" t="s">
        <v>746</v>
      </c>
      <c r="C259" t="s">
        <v>748</v>
      </c>
      <c r="D259" t="s">
        <v>749</v>
      </c>
      <c r="E259">
        <v>27</v>
      </c>
      <c r="F259" t="s">
        <v>285</v>
      </c>
      <c r="G259">
        <v>3</v>
      </c>
      <c r="H259">
        <v>3</v>
      </c>
      <c r="I259">
        <v>98.275999999999996</v>
      </c>
      <c r="J259">
        <v>43.161000000000001</v>
      </c>
      <c r="K259">
        <f>(2.796+1.213)/2</f>
        <v>2.0045000000000002</v>
      </c>
      <c r="L259" s="8">
        <v>0</v>
      </c>
      <c r="M259" s="8" t="s">
        <v>451</v>
      </c>
      <c r="N259" s="14" t="s">
        <v>452</v>
      </c>
    </row>
    <row r="260" spans="1:15" x14ac:dyDescent="0.25">
      <c r="A260" t="s">
        <v>257</v>
      </c>
      <c r="B260" t="s">
        <v>746</v>
      </c>
      <c r="C260" t="s">
        <v>748</v>
      </c>
      <c r="D260" t="s">
        <v>749</v>
      </c>
      <c r="E260">
        <v>28</v>
      </c>
      <c r="F260" t="s">
        <v>286</v>
      </c>
      <c r="G260">
        <v>3</v>
      </c>
      <c r="H260">
        <v>4</v>
      </c>
      <c r="I260">
        <f>46.876+44.571</f>
        <v>91.447000000000003</v>
      </c>
      <c r="J260">
        <v>11.532999999999999</v>
      </c>
      <c r="K260">
        <f>(4.658+3.618)/2</f>
        <v>4.1379999999999999</v>
      </c>
      <c r="L260" s="8">
        <v>1</v>
      </c>
      <c r="M260" s="8" t="s">
        <v>454</v>
      </c>
      <c r="N260" s="14">
        <v>0</v>
      </c>
    </row>
    <row r="261" spans="1:15" x14ac:dyDescent="0.25">
      <c r="A261" t="s">
        <v>257</v>
      </c>
      <c r="B261" t="s">
        <v>746</v>
      </c>
      <c r="C261" t="s">
        <v>748</v>
      </c>
      <c r="D261" t="s">
        <v>749</v>
      </c>
      <c r="E261">
        <v>29</v>
      </c>
      <c r="F261" t="s">
        <v>287</v>
      </c>
      <c r="G261">
        <v>3</v>
      </c>
      <c r="H261">
        <v>4</v>
      </c>
      <c r="I261">
        <v>114.417</v>
      </c>
      <c r="J261">
        <v>37.47</v>
      </c>
      <c r="K261">
        <f>(1.895+1.868)/2</f>
        <v>1.8815</v>
      </c>
      <c r="L261" s="8">
        <v>0</v>
      </c>
      <c r="M261" s="8" t="s">
        <v>451</v>
      </c>
      <c r="N261" s="14" t="s">
        <v>452</v>
      </c>
      <c r="O261" s="1" t="s">
        <v>172</v>
      </c>
    </row>
    <row r="262" spans="1:15" x14ac:dyDescent="0.25">
      <c r="A262" t="s">
        <v>257</v>
      </c>
      <c r="B262" t="s">
        <v>746</v>
      </c>
      <c r="C262" t="s">
        <v>748</v>
      </c>
      <c r="D262" t="s">
        <v>749</v>
      </c>
      <c r="E262">
        <v>30</v>
      </c>
      <c r="F262" t="s">
        <v>288</v>
      </c>
      <c r="G262">
        <v>3</v>
      </c>
      <c r="H262">
        <v>3</v>
      </c>
      <c r="I262">
        <f>105.887+13.014</f>
        <v>118.901</v>
      </c>
      <c r="J262">
        <v>39.814</v>
      </c>
      <c r="K262">
        <f>(1.694+1.705)/2</f>
        <v>1.6995</v>
      </c>
      <c r="L262" s="8">
        <v>1</v>
      </c>
      <c r="M262" s="8" t="s">
        <v>451</v>
      </c>
      <c r="N262" s="14">
        <v>2.3650000000000002</v>
      </c>
      <c r="O262" s="1" t="s">
        <v>289</v>
      </c>
    </row>
    <row r="263" spans="1:15" x14ac:dyDescent="0.25">
      <c r="A263" t="s">
        <v>257</v>
      </c>
      <c r="B263" t="s">
        <v>746</v>
      </c>
      <c r="C263" t="s">
        <v>748</v>
      </c>
      <c r="D263" t="s">
        <v>749</v>
      </c>
      <c r="E263">
        <v>31</v>
      </c>
      <c r="F263" t="s">
        <v>290</v>
      </c>
      <c r="G263">
        <v>3</v>
      </c>
      <c r="H263">
        <v>3</v>
      </c>
      <c r="I263">
        <f>89.917+31.814+5.717+7.52+16.68</f>
        <v>151.648</v>
      </c>
      <c r="J263">
        <v>43.524999999999999</v>
      </c>
      <c r="K263">
        <f>(1.339+1.366+1.27)/3</f>
        <v>1.325</v>
      </c>
      <c r="L263" s="8">
        <v>3</v>
      </c>
      <c r="M263" s="8" t="s">
        <v>451</v>
      </c>
      <c r="N263" s="14">
        <v>24.094999999999999</v>
      </c>
      <c r="O263" s="1" t="s">
        <v>291</v>
      </c>
    </row>
    <row r="264" spans="1:15" x14ac:dyDescent="0.25">
      <c r="A264" t="s">
        <v>257</v>
      </c>
      <c r="B264" t="s">
        <v>746</v>
      </c>
      <c r="C264" t="s">
        <v>748</v>
      </c>
      <c r="D264" t="s">
        <v>749</v>
      </c>
      <c r="E264">
        <v>32</v>
      </c>
      <c r="F264" t="s">
        <v>292</v>
      </c>
      <c r="G264">
        <v>3</v>
      </c>
      <c r="H264">
        <v>3</v>
      </c>
      <c r="I264">
        <f>105.682+35.778+21.116+13.158</f>
        <v>175.73400000000001</v>
      </c>
      <c r="J264">
        <v>28.613</v>
      </c>
      <c r="K264">
        <f>(1.787+3.492+2.462)/3</f>
        <v>2.5803333333333334</v>
      </c>
      <c r="L264" s="8">
        <v>4</v>
      </c>
      <c r="M264" s="8" t="s">
        <v>454</v>
      </c>
      <c r="N264" s="14">
        <v>0</v>
      </c>
      <c r="O264" s="1" t="s">
        <v>174</v>
      </c>
    </row>
    <row r="265" spans="1:15" x14ac:dyDescent="0.25">
      <c r="A265" t="s">
        <v>257</v>
      </c>
      <c r="B265" t="s">
        <v>746</v>
      </c>
      <c r="C265" t="s">
        <v>748</v>
      </c>
      <c r="D265" t="s">
        <v>749</v>
      </c>
      <c r="E265">
        <v>33</v>
      </c>
      <c r="F265" t="s">
        <v>293</v>
      </c>
      <c r="G265">
        <v>3</v>
      </c>
      <c r="H265">
        <v>3</v>
      </c>
      <c r="I265">
        <v>32.165999999999997</v>
      </c>
      <c r="J265">
        <v>43.738</v>
      </c>
      <c r="K265">
        <f>(2.229+1.562)/2</f>
        <v>1.8955000000000002</v>
      </c>
      <c r="L265" s="8">
        <v>0</v>
      </c>
      <c r="M265" s="8" t="s">
        <v>451</v>
      </c>
      <c r="N265" s="14" t="s">
        <v>452</v>
      </c>
    </row>
    <row r="266" spans="1:15" x14ac:dyDescent="0.25">
      <c r="A266" t="s">
        <v>257</v>
      </c>
      <c r="B266" t="s">
        <v>746</v>
      </c>
      <c r="C266" t="s">
        <v>748</v>
      </c>
      <c r="D266" t="s">
        <v>749</v>
      </c>
      <c r="E266">
        <v>34</v>
      </c>
      <c r="F266" t="s">
        <v>294</v>
      </c>
      <c r="G266">
        <v>3</v>
      </c>
      <c r="H266">
        <v>3</v>
      </c>
      <c r="I266">
        <f>93.68+9.793</f>
        <v>103.47300000000001</v>
      </c>
      <c r="J266">
        <v>43.258000000000003</v>
      </c>
      <c r="K266">
        <f>(2.654+3.693)/2</f>
        <v>3.1734999999999998</v>
      </c>
      <c r="L266" s="8">
        <v>1</v>
      </c>
      <c r="M266" s="8" t="s">
        <v>454</v>
      </c>
      <c r="N266" s="14">
        <v>0</v>
      </c>
    </row>
    <row r="267" spans="1:15" x14ac:dyDescent="0.25">
      <c r="A267" t="s">
        <v>257</v>
      </c>
      <c r="B267" t="s">
        <v>746</v>
      </c>
      <c r="C267" t="s">
        <v>748</v>
      </c>
      <c r="D267" t="s">
        <v>749</v>
      </c>
      <c r="E267">
        <v>35</v>
      </c>
      <c r="F267" t="s">
        <v>295</v>
      </c>
      <c r="G267">
        <v>3</v>
      </c>
      <c r="H267">
        <v>3</v>
      </c>
      <c r="I267">
        <v>95.573999999999998</v>
      </c>
      <c r="J267">
        <v>45.942999999999998</v>
      </c>
      <c r="K267">
        <f>(3.388+4.018)/2</f>
        <v>3.7029999999999998</v>
      </c>
      <c r="L267" s="8">
        <v>0</v>
      </c>
      <c r="M267" s="8" t="s">
        <v>451</v>
      </c>
      <c r="N267" s="14" t="s">
        <v>452</v>
      </c>
    </row>
    <row r="268" spans="1:15" x14ac:dyDescent="0.25">
      <c r="A268" t="s">
        <v>257</v>
      </c>
      <c r="B268" t="s">
        <v>746</v>
      </c>
      <c r="C268" t="s">
        <v>748</v>
      </c>
      <c r="D268" t="s">
        <v>749</v>
      </c>
      <c r="E268">
        <v>36</v>
      </c>
      <c r="F268" t="s">
        <v>296</v>
      </c>
      <c r="G268">
        <v>3</v>
      </c>
      <c r="H268">
        <v>4</v>
      </c>
      <c r="I268">
        <v>96.227000000000004</v>
      </c>
      <c r="J268">
        <v>44.137</v>
      </c>
      <c r="K268">
        <f>(1.977+2.117)/2</f>
        <v>2.0470000000000002</v>
      </c>
      <c r="L268" s="8">
        <v>0</v>
      </c>
      <c r="M268" s="8" t="s">
        <v>451</v>
      </c>
      <c r="N268" s="14" t="s">
        <v>452</v>
      </c>
      <c r="O268" s="1" t="s">
        <v>172</v>
      </c>
    </row>
    <row r="269" spans="1:15" x14ac:dyDescent="0.25">
      <c r="A269" t="s">
        <v>257</v>
      </c>
      <c r="B269" t="s">
        <v>746</v>
      </c>
      <c r="C269" t="s">
        <v>748</v>
      </c>
      <c r="D269" t="s">
        <v>749</v>
      </c>
      <c r="E269">
        <v>37</v>
      </c>
      <c r="F269" t="s">
        <v>297</v>
      </c>
      <c r="G269">
        <v>3</v>
      </c>
      <c r="H269">
        <v>4</v>
      </c>
      <c r="I269">
        <v>97.951999999999998</v>
      </c>
      <c r="J269">
        <v>24.207000000000001</v>
      </c>
      <c r="K269">
        <f>(3.242+2.816)/2</f>
        <v>3.0289999999999999</v>
      </c>
      <c r="L269" s="8">
        <v>0</v>
      </c>
      <c r="M269" s="8" t="s">
        <v>451</v>
      </c>
      <c r="N269" s="14" t="s">
        <v>452</v>
      </c>
    </row>
    <row r="270" spans="1:15" x14ac:dyDescent="0.25">
      <c r="A270" t="s">
        <v>257</v>
      </c>
      <c r="B270" t="s">
        <v>746</v>
      </c>
      <c r="C270" t="s">
        <v>748</v>
      </c>
      <c r="D270" t="s">
        <v>749</v>
      </c>
      <c r="E270">
        <v>38</v>
      </c>
      <c r="F270" t="s">
        <v>298</v>
      </c>
      <c r="G270">
        <v>3</v>
      </c>
      <c r="H270">
        <v>4</v>
      </c>
      <c r="I270">
        <f>45.73+25.179+13.057</f>
        <v>83.965999999999994</v>
      </c>
      <c r="J270">
        <v>27.038</v>
      </c>
      <c r="K270">
        <f>(4.264+2.481+6.149)/3</f>
        <v>4.298</v>
      </c>
      <c r="L270" s="8">
        <v>2</v>
      </c>
      <c r="M270" s="8" t="s">
        <v>454</v>
      </c>
      <c r="N270" s="14">
        <v>0</v>
      </c>
      <c r="O270" s="1" t="s">
        <v>158</v>
      </c>
    </row>
    <row r="271" spans="1:15" x14ac:dyDescent="0.25">
      <c r="A271" t="s">
        <v>257</v>
      </c>
      <c r="B271" t="s">
        <v>746</v>
      </c>
      <c r="C271" t="s">
        <v>748</v>
      </c>
      <c r="D271" t="s">
        <v>749</v>
      </c>
      <c r="E271">
        <v>39</v>
      </c>
      <c r="F271" t="s">
        <v>299</v>
      </c>
      <c r="G271">
        <v>3</v>
      </c>
      <c r="H271">
        <v>3</v>
      </c>
      <c r="I271">
        <f>74.156+26.388</f>
        <v>100.54400000000001</v>
      </c>
      <c r="J271">
        <v>47.79</v>
      </c>
      <c r="K271">
        <f>(2.013+1.95)/2</f>
        <v>1.9815</v>
      </c>
      <c r="L271" s="8">
        <v>1</v>
      </c>
      <c r="M271" s="8" t="s">
        <v>454</v>
      </c>
      <c r="N271" s="14">
        <v>0</v>
      </c>
      <c r="O271" s="1" t="s">
        <v>171</v>
      </c>
    </row>
    <row r="272" spans="1:15" x14ac:dyDescent="0.25">
      <c r="A272" t="s">
        <v>257</v>
      </c>
      <c r="B272" t="s">
        <v>746</v>
      </c>
      <c r="C272" t="s">
        <v>748</v>
      </c>
      <c r="D272" t="s">
        <v>749</v>
      </c>
      <c r="E272">
        <v>40</v>
      </c>
      <c r="F272" t="s">
        <v>300</v>
      </c>
      <c r="G272">
        <v>3</v>
      </c>
      <c r="H272">
        <v>3</v>
      </c>
      <c r="I272">
        <f>61.402+9.541</f>
        <v>70.942999999999998</v>
      </c>
      <c r="J272">
        <v>42.415999999999997</v>
      </c>
      <c r="K272">
        <f>(3.573+4.769+5.117)/3</f>
        <v>4.4863333333333335</v>
      </c>
      <c r="L272" s="8">
        <v>1</v>
      </c>
      <c r="M272" s="8" t="s">
        <v>454</v>
      </c>
      <c r="N272" s="14">
        <v>0</v>
      </c>
      <c r="O272" s="1" t="s">
        <v>171</v>
      </c>
    </row>
    <row r="273" spans="1:15" x14ac:dyDescent="0.25">
      <c r="A273" t="s">
        <v>257</v>
      </c>
      <c r="B273" t="s">
        <v>746</v>
      </c>
      <c r="C273" t="s">
        <v>748</v>
      </c>
      <c r="D273" t="s">
        <v>749</v>
      </c>
      <c r="E273">
        <v>41</v>
      </c>
      <c r="F273" t="s">
        <v>301</v>
      </c>
      <c r="G273">
        <v>3</v>
      </c>
      <c r="H273">
        <v>4</v>
      </c>
      <c r="I273">
        <v>58.756999999999998</v>
      </c>
      <c r="J273">
        <v>28.463000000000001</v>
      </c>
      <c r="K273">
        <f>(2.112+2.517)/2</f>
        <v>2.3144999999999998</v>
      </c>
      <c r="L273" s="8">
        <v>0</v>
      </c>
      <c r="M273" s="8" t="s">
        <v>451</v>
      </c>
      <c r="N273" s="14" t="s">
        <v>452</v>
      </c>
    </row>
    <row r="274" spans="1:15" x14ac:dyDescent="0.25">
      <c r="A274" t="s">
        <v>257</v>
      </c>
      <c r="B274" t="s">
        <v>746</v>
      </c>
      <c r="C274" t="s">
        <v>748</v>
      </c>
      <c r="D274" t="s">
        <v>749</v>
      </c>
      <c r="E274">
        <v>42</v>
      </c>
      <c r="F274" t="s">
        <v>302</v>
      </c>
      <c r="G274">
        <v>3</v>
      </c>
      <c r="H274">
        <v>3</v>
      </c>
      <c r="I274">
        <v>75.682000000000002</v>
      </c>
      <c r="J274">
        <v>50.893000000000001</v>
      </c>
      <c r="K274">
        <f>(2.841+2.343)/2</f>
        <v>2.5920000000000001</v>
      </c>
      <c r="L274" s="8">
        <v>0</v>
      </c>
      <c r="M274" s="8" t="s">
        <v>451</v>
      </c>
      <c r="N274" s="14" t="s">
        <v>452</v>
      </c>
    </row>
    <row r="275" spans="1:15" x14ac:dyDescent="0.25">
      <c r="A275" t="s">
        <v>257</v>
      </c>
      <c r="B275" t="s">
        <v>746</v>
      </c>
      <c r="C275" t="s">
        <v>748</v>
      </c>
      <c r="D275" t="s">
        <v>749</v>
      </c>
      <c r="E275">
        <v>43</v>
      </c>
      <c r="F275" t="s">
        <v>303</v>
      </c>
      <c r="G275">
        <v>3</v>
      </c>
      <c r="H275">
        <v>4</v>
      </c>
      <c r="I275">
        <v>76.239999999999995</v>
      </c>
      <c r="J275">
        <v>27.908999999999999</v>
      </c>
      <c r="K275">
        <f>(4.624+2.891)/2</f>
        <v>3.7574999999999998</v>
      </c>
      <c r="L275" s="8">
        <v>0</v>
      </c>
      <c r="M275" s="8" t="s">
        <v>451</v>
      </c>
      <c r="N275" s="14" t="s">
        <v>452</v>
      </c>
    </row>
    <row r="276" spans="1:15" x14ac:dyDescent="0.25">
      <c r="A276" t="s">
        <v>257</v>
      </c>
      <c r="B276" t="s">
        <v>746</v>
      </c>
      <c r="C276" t="s">
        <v>748</v>
      </c>
      <c r="D276" t="s">
        <v>749</v>
      </c>
      <c r="E276">
        <v>44</v>
      </c>
      <c r="F276" t="s">
        <v>304</v>
      </c>
      <c r="G276">
        <v>3</v>
      </c>
      <c r="H276">
        <v>4</v>
      </c>
      <c r="I276">
        <f>70.972+16.019</f>
        <v>86.990999999999985</v>
      </c>
      <c r="J276">
        <v>29.495000000000001</v>
      </c>
      <c r="K276">
        <f>(2.219+2.82+2.608)/3</f>
        <v>2.5489999999999999</v>
      </c>
      <c r="L276" s="8">
        <v>1</v>
      </c>
      <c r="M276" s="8" t="s">
        <v>454</v>
      </c>
      <c r="N276" s="14">
        <v>0</v>
      </c>
      <c r="O276" s="1" t="s">
        <v>172</v>
      </c>
    </row>
    <row r="277" spans="1:15" x14ac:dyDescent="0.25">
      <c r="A277" t="s">
        <v>257</v>
      </c>
      <c r="B277" t="s">
        <v>746</v>
      </c>
      <c r="C277" t="s">
        <v>748</v>
      </c>
      <c r="D277" t="s">
        <v>749</v>
      </c>
      <c r="E277">
        <v>45</v>
      </c>
      <c r="F277" t="s">
        <v>305</v>
      </c>
      <c r="G277">
        <v>3</v>
      </c>
      <c r="H277">
        <v>3</v>
      </c>
      <c r="I277">
        <f>105.291+78.894</f>
        <v>184.185</v>
      </c>
      <c r="J277">
        <v>40.244999999999997</v>
      </c>
      <c r="K277">
        <f>(2.956+2.802+2.415)/3</f>
        <v>2.7243333333333335</v>
      </c>
      <c r="L277" s="8">
        <v>2</v>
      </c>
      <c r="M277" s="8" t="s">
        <v>454</v>
      </c>
      <c r="N277" s="14">
        <v>0</v>
      </c>
    </row>
    <row r="278" spans="1:15" x14ac:dyDescent="0.25">
      <c r="A278" t="s">
        <v>257</v>
      </c>
      <c r="B278" t="s">
        <v>746</v>
      </c>
      <c r="C278" t="s">
        <v>748</v>
      </c>
      <c r="D278" t="s">
        <v>749</v>
      </c>
      <c r="E278">
        <v>46</v>
      </c>
      <c r="F278" t="s">
        <v>306</v>
      </c>
      <c r="G278">
        <v>3</v>
      </c>
      <c r="H278">
        <v>3</v>
      </c>
      <c r="I278">
        <f>41.423+13.634+34.729+13.738</f>
        <v>103.524</v>
      </c>
      <c r="J278">
        <v>37.603000000000002</v>
      </c>
      <c r="K278">
        <f>(2.491+2.462+1.326)/3</f>
        <v>2.093</v>
      </c>
      <c r="L278" s="8">
        <v>2</v>
      </c>
      <c r="M278" s="8" t="s">
        <v>454</v>
      </c>
      <c r="N278" s="14">
        <v>0</v>
      </c>
    </row>
    <row r="279" spans="1:15" x14ac:dyDescent="0.25">
      <c r="A279" t="s">
        <v>257</v>
      </c>
      <c r="B279" t="s">
        <v>746</v>
      </c>
      <c r="C279" t="s">
        <v>748</v>
      </c>
      <c r="D279" t="s">
        <v>749</v>
      </c>
      <c r="E279">
        <v>47</v>
      </c>
      <c r="F279" t="s">
        <v>307</v>
      </c>
      <c r="G279">
        <v>3</v>
      </c>
      <c r="H279">
        <v>3</v>
      </c>
      <c r="I279">
        <f>49.96+10.856</f>
        <v>60.816000000000003</v>
      </c>
      <c r="J279">
        <v>36.496000000000002</v>
      </c>
      <c r="K279">
        <f>(3.115+2.695)/2</f>
        <v>2.9050000000000002</v>
      </c>
      <c r="L279" s="8">
        <v>2</v>
      </c>
      <c r="M279" s="8" t="s">
        <v>454</v>
      </c>
      <c r="N279" s="14">
        <v>0</v>
      </c>
    </row>
    <row r="280" spans="1:15" x14ac:dyDescent="0.25">
      <c r="A280" t="s">
        <v>257</v>
      </c>
      <c r="B280" t="s">
        <v>746</v>
      </c>
      <c r="C280" t="s">
        <v>748</v>
      </c>
      <c r="D280" t="s">
        <v>749</v>
      </c>
      <c r="E280">
        <v>48</v>
      </c>
      <c r="F280" t="s">
        <v>308</v>
      </c>
      <c r="G280">
        <v>3</v>
      </c>
      <c r="H280">
        <v>3</v>
      </c>
      <c r="I280">
        <v>111.497</v>
      </c>
      <c r="J280">
        <v>40.442999999999998</v>
      </c>
      <c r="K280">
        <f>(3.562+2.732)/2</f>
        <v>3.1470000000000002</v>
      </c>
      <c r="L280" s="8">
        <v>0</v>
      </c>
      <c r="M280" s="8" t="s">
        <v>451</v>
      </c>
      <c r="N280" s="14" t="s">
        <v>452</v>
      </c>
    </row>
    <row r="281" spans="1:15" x14ac:dyDescent="0.25">
      <c r="A281" t="s">
        <v>257</v>
      </c>
      <c r="B281" t="s">
        <v>746</v>
      </c>
      <c r="C281" t="s">
        <v>748</v>
      </c>
      <c r="D281" t="s">
        <v>749</v>
      </c>
      <c r="E281">
        <v>49</v>
      </c>
      <c r="F281" t="s">
        <v>309</v>
      </c>
      <c r="G281">
        <v>3</v>
      </c>
      <c r="H281">
        <v>4</v>
      </c>
      <c r="I281">
        <v>69.742000000000004</v>
      </c>
      <c r="J281">
        <v>42.856999999999999</v>
      </c>
      <c r="K281">
        <f>(2.219+2.15)/2</f>
        <v>2.1844999999999999</v>
      </c>
      <c r="L281" s="8">
        <v>0</v>
      </c>
      <c r="M281" s="8" t="s">
        <v>451</v>
      </c>
      <c r="N281" s="14" t="s">
        <v>452</v>
      </c>
      <c r="O281" s="1" t="s">
        <v>172</v>
      </c>
    </row>
    <row r="282" spans="1:15" x14ac:dyDescent="0.25">
      <c r="A282" t="s">
        <v>257</v>
      </c>
      <c r="B282" t="s">
        <v>746</v>
      </c>
      <c r="C282" t="s">
        <v>748</v>
      </c>
      <c r="D282" t="s">
        <v>749</v>
      </c>
      <c r="E282">
        <v>50</v>
      </c>
      <c r="F282" t="s">
        <v>310</v>
      </c>
      <c r="G282">
        <v>3</v>
      </c>
      <c r="H282">
        <v>4</v>
      </c>
      <c r="I282">
        <f>65.468+123.65</f>
        <v>189.11799999999999</v>
      </c>
      <c r="J282">
        <v>25.161999999999999</v>
      </c>
      <c r="K282">
        <v>2.7309999999999999</v>
      </c>
      <c r="L282" s="8">
        <v>0</v>
      </c>
      <c r="M282" s="8" t="s">
        <v>451</v>
      </c>
      <c r="N282" s="14" t="s">
        <v>452</v>
      </c>
      <c r="O282" s="1" t="s">
        <v>311</v>
      </c>
    </row>
    <row r="283" spans="1:15" x14ac:dyDescent="0.25">
      <c r="A283" t="s">
        <v>257</v>
      </c>
      <c r="B283" t="s">
        <v>746</v>
      </c>
      <c r="C283" t="s">
        <v>748</v>
      </c>
      <c r="D283" t="s">
        <v>749</v>
      </c>
      <c r="E283">
        <v>51</v>
      </c>
      <c r="F283" t="s">
        <v>312</v>
      </c>
      <c r="G283">
        <v>3</v>
      </c>
      <c r="H283">
        <v>4</v>
      </c>
      <c r="I283">
        <v>132.78399999999999</v>
      </c>
      <c r="J283">
        <v>21.492999999999999</v>
      </c>
      <c r="K283">
        <f>(1.977+2.304)/2</f>
        <v>2.1404999999999998</v>
      </c>
      <c r="L283" s="8">
        <v>0</v>
      </c>
      <c r="M283" s="8" t="s">
        <v>451</v>
      </c>
      <c r="N283" s="14" t="s">
        <v>452</v>
      </c>
    </row>
    <row r="284" spans="1:15" x14ac:dyDescent="0.25">
      <c r="A284" t="s">
        <v>257</v>
      </c>
      <c r="B284" t="s">
        <v>746</v>
      </c>
      <c r="C284" t="s">
        <v>748</v>
      </c>
      <c r="D284" t="s">
        <v>749</v>
      </c>
      <c r="E284">
        <v>52</v>
      </c>
      <c r="F284" t="s">
        <v>313</v>
      </c>
      <c r="G284">
        <v>3</v>
      </c>
      <c r="H284">
        <v>3</v>
      </c>
      <c r="I284">
        <v>93.805999999999997</v>
      </c>
      <c r="J284">
        <v>43.354999999999997</v>
      </c>
      <c r="K284">
        <v>2.4249999999999998</v>
      </c>
      <c r="L284" s="8">
        <v>0</v>
      </c>
      <c r="M284" s="8" t="s">
        <v>451</v>
      </c>
      <c r="N284" s="14" t="s">
        <v>452</v>
      </c>
    </row>
    <row r="285" spans="1:15" x14ac:dyDescent="0.25">
      <c r="A285" t="s">
        <v>257</v>
      </c>
      <c r="B285" t="s">
        <v>746</v>
      </c>
      <c r="C285" t="s">
        <v>748</v>
      </c>
      <c r="D285" t="s">
        <v>749</v>
      </c>
      <c r="E285">
        <v>53</v>
      </c>
      <c r="F285" t="s">
        <v>314</v>
      </c>
      <c r="G285">
        <v>3</v>
      </c>
      <c r="H285">
        <v>3</v>
      </c>
      <c r="I285">
        <f>77.158+14.327</f>
        <v>91.484999999999999</v>
      </c>
      <c r="J285">
        <v>37.170999999999999</v>
      </c>
      <c r="K285">
        <f>(1.562+3.414+5.676)/3</f>
        <v>3.5506666666666669</v>
      </c>
      <c r="L285" s="8">
        <v>1</v>
      </c>
      <c r="M285" s="8" t="s">
        <v>454</v>
      </c>
      <c r="N285" s="14">
        <v>0</v>
      </c>
    </row>
    <row r="286" spans="1:15" x14ac:dyDescent="0.25">
      <c r="A286" t="s">
        <v>257</v>
      </c>
      <c r="B286" t="s">
        <v>746</v>
      </c>
      <c r="C286" t="s">
        <v>748</v>
      </c>
      <c r="D286" t="s">
        <v>749</v>
      </c>
      <c r="E286">
        <v>54</v>
      </c>
      <c r="F286" t="s">
        <v>315</v>
      </c>
      <c r="G286">
        <v>3</v>
      </c>
      <c r="H286">
        <v>3</v>
      </c>
      <c r="I286">
        <f>145.33+18.071+6.266</f>
        <v>169.667</v>
      </c>
      <c r="J286">
        <v>31.867999999999999</v>
      </c>
      <c r="K286">
        <f>(2.373+1.95)/2</f>
        <v>2.1615000000000002</v>
      </c>
      <c r="L286" s="8">
        <v>2</v>
      </c>
      <c r="M286" s="8" t="s">
        <v>451</v>
      </c>
      <c r="N286" s="14">
        <v>4.7830000000000004</v>
      </c>
    </row>
    <row r="287" spans="1:15" x14ac:dyDescent="0.25">
      <c r="A287" t="s">
        <v>257</v>
      </c>
      <c r="B287" t="s">
        <v>746</v>
      </c>
      <c r="C287" t="s">
        <v>748</v>
      </c>
      <c r="D287" t="s">
        <v>749</v>
      </c>
      <c r="E287">
        <v>55</v>
      </c>
      <c r="F287" t="s">
        <v>316</v>
      </c>
      <c r="G287">
        <v>3</v>
      </c>
      <c r="H287">
        <v>3</v>
      </c>
      <c r="I287">
        <f>70.661+14.876+16.352</f>
        <v>101.88900000000001</v>
      </c>
      <c r="J287">
        <v>45.176000000000002</v>
      </c>
      <c r="K287">
        <f>(3.367+4.348)/2</f>
        <v>3.8574999999999999</v>
      </c>
      <c r="L287" s="8">
        <v>2</v>
      </c>
      <c r="M287" s="8" t="s">
        <v>454</v>
      </c>
      <c r="N287" s="14">
        <v>0</v>
      </c>
    </row>
    <row r="288" spans="1:15" x14ac:dyDescent="0.25">
      <c r="A288" t="s">
        <v>257</v>
      </c>
      <c r="B288" t="s">
        <v>746</v>
      </c>
      <c r="C288" t="s">
        <v>748</v>
      </c>
      <c r="D288" t="s">
        <v>749</v>
      </c>
      <c r="E288">
        <v>56</v>
      </c>
      <c r="F288" t="s">
        <v>317</v>
      </c>
      <c r="G288">
        <v>3</v>
      </c>
      <c r="H288">
        <v>3</v>
      </c>
      <c r="I288">
        <f>60.096+24.161</f>
        <v>84.257000000000005</v>
      </c>
      <c r="J288">
        <v>40.213000000000001</v>
      </c>
      <c r="K288">
        <f>(2.415+2.561+5.912)/3</f>
        <v>3.6293333333333333</v>
      </c>
      <c r="L288" s="8">
        <v>2</v>
      </c>
      <c r="M288" s="8" t="s">
        <v>454</v>
      </c>
      <c r="N288" s="14">
        <v>0</v>
      </c>
      <c r="O288" s="1" t="s">
        <v>318</v>
      </c>
    </row>
    <row r="289" spans="1:16" x14ac:dyDescent="0.25">
      <c r="A289" t="s">
        <v>257</v>
      </c>
      <c r="B289" t="s">
        <v>746</v>
      </c>
      <c r="C289" t="s">
        <v>748</v>
      </c>
      <c r="D289" t="s">
        <v>749</v>
      </c>
      <c r="E289">
        <v>57</v>
      </c>
      <c r="F289" t="s">
        <v>319</v>
      </c>
      <c r="G289">
        <v>3</v>
      </c>
      <c r="H289">
        <v>3</v>
      </c>
      <c r="I289">
        <f>41.095+27.634</f>
        <v>68.728999999999999</v>
      </c>
      <c r="J289">
        <v>42.393999999999998</v>
      </c>
      <c r="K289">
        <f>(4.053+2.092)/2</f>
        <v>3.0724999999999998</v>
      </c>
      <c r="L289" s="8">
        <v>1</v>
      </c>
      <c r="M289" s="8" t="s">
        <v>454</v>
      </c>
      <c r="N289" s="14">
        <v>5.8049999999999997</v>
      </c>
    </row>
    <row r="290" spans="1:16" x14ac:dyDescent="0.25">
      <c r="A290" t="s">
        <v>257</v>
      </c>
      <c r="B290" t="s">
        <v>746</v>
      </c>
      <c r="C290" t="s">
        <v>748</v>
      </c>
      <c r="D290" t="s">
        <v>749</v>
      </c>
      <c r="E290">
        <v>58</v>
      </c>
      <c r="F290" t="s">
        <v>320</v>
      </c>
      <c r="G290">
        <v>3</v>
      </c>
      <c r="H290">
        <v>3</v>
      </c>
      <c r="I290">
        <v>71.974999999999994</v>
      </c>
      <c r="J290">
        <v>34.08</v>
      </c>
      <c r="K290">
        <f>(3.27+3.482)/2</f>
        <v>3.3760000000000003</v>
      </c>
      <c r="L290" s="8">
        <v>0</v>
      </c>
      <c r="M290" s="8" t="s">
        <v>451</v>
      </c>
      <c r="N290" s="14" t="s">
        <v>452</v>
      </c>
    </row>
    <row r="291" spans="1:16" x14ac:dyDescent="0.25">
      <c r="A291" t="s">
        <v>257</v>
      </c>
      <c r="B291" t="s">
        <v>746</v>
      </c>
      <c r="C291" t="s">
        <v>748</v>
      </c>
      <c r="D291" t="s">
        <v>749</v>
      </c>
      <c r="E291">
        <v>59</v>
      </c>
      <c r="F291" t="s">
        <v>321</v>
      </c>
      <c r="G291">
        <v>3</v>
      </c>
      <c r="H291">
        <v>4</v>
      </c>
      <c r="I291">
        <f>135.493+14.163</f>
        <v>149.65600000000001</v>
      </c>
      <c r="J291">
        <v>28.044</v>
      </c>
      <c r="K291">
        <f>(2.847+2.527)/2</f>
        <v>2.6870000000000003</v>
      </c>
      <c r="L291" s="8">
        <v>1</v>
      </c>
      <c r="M291" s="8" t="s">
        <v>451</v>
      </c>
      <c r="N291" s="14">
        <v>35.816000000000003</v>
      </c>
    </row>
    <row r="292" spans="1:16" x14ac:dyDescent="0.25">
      <c r="A292" t="s">
        <v>257</v>
      </c>
      <c r="B292" t="s">
        <v>746</v>
      </c>
      <c r="C292" t="s">
        <v>748</v>
      </c>
      <c r="D292" t="s">
        <v>749</v>
      </c>
      <c r="E292">
        <v>60</v>
      </c>
      <c r="F292" t="s">
        <v>322</v>
      </c>
      <c r="G292">
        <v>3</v>
      </c>
      <c r="H292">
        <v>4</v>
      </c>
      <c r="I292">
        <v>59.598999999999997</v>
      </c>
      <c r="J292">
        <v>20.914000000000001</v>
      </c>
      <c r="K292">
        <f>(2.281+2.092)/2</f>
        <v>2.1865000000000001</v>
      </c>
      <c r="L292" s="8">
        <v>0</v>
      </c>
      <c r="M292" s="8" t="s">
        <v>451</v>
      </c>
      <c r="N292" s="14" t="s">
        <v>452</v>
      </c>
    </row>
    <row r="293" spans="1:16" x14ac:dyDescent="0.25">
      <c r="A293" t="s">
        <v>257</v>
      </c>
      <c r="B293" t="s">
        <v>746</v>
      </c>
      <c r="C293" t="s">
        <v>748</v>
      </c>
      <c r="D293" t="s">
        <v>749</v>
      </c>
      <c r="E293">
        <v>61</v>
      </c>
      <c r="F293" t="s">
        <v>323</v>
      </c>
      <c r="G293">
        <v>3</v>
      </c>
      <c r="H293">
        <v>4</v>
      </c>
      <c r="I293">
        <v>105.28700000000001</v>
      </c>
      <c r="J293">
        <v>30.849</v>
      </c>
      <c r="K293">
        <f>(3.083+1.903)/2</f>
        <v>2.4930000000000003</v>
      </c>
      <c r="L293" s="8">
        <v>0</v>
      </c>
      <c r="M293" s="8" t="s">
        <v>451</v>
      </c>
      <c r="N293" s="14" t="s">
        <v>452</v>
      </c>
    </row>
    <row r="294" spans="1:16" x14ac:dyDescent="0.25">
      <c r="A294" t="s">
        <v>257</v>
      </c>
      <c r="B294" t="s">
        <v>746</v>
      </c>
      <c r="C294" t="s">
        <v>748</v>
      </c>
      <c r="D294" t="s">
        <v>749</v>
      </c>
      <c r="E294">
        <v>62</v>
      </c>
      <c r="F294" t="s">
        <v>324</v>
      </c>
      <c r="G294">
        <v>3</v>
      </c>
      <c r="H294">
        <v>3</v>
      </c>
      <c r="I294">
        <f>31.48+30.58</f>
        <v>62.06</v>
      </c>
      <c r="J294">
        <v>44.433999999999997</v>
      </c>
      <c r="K294">
        <f>(1.852+2.996)/2</f>
        <v>2.4239999999999999</v>
      </c>
      <c r="L294" s="8">
        <v>1</v>
      </c>
      <c r="M294" s="8" t="s">
        <v>451</v>
      </c>
      <c r="N294" s="14">
        <v>10.513999999999999</v>
      </c>
    </row>
    <row r="295" spans="1:16" x14ac:dyDescent="0.25">
      <c r="A295" t="s">
        <v>257</v>
      </c>
      <c r="B295" t="s">
        <v>746</v>
      </c>
      <c r="C295" t="s">
        <v>748</v>
      </c>
      <c r="D295" t="s">
        <v>749</v>
      </c>
      <c r="E295">
        <v>63</v>
      </c>
      <c r="F295" t="s">
        <v>325</v>
      </c>
      <c r="G295">
        <v>3</v>
      </c>
      <c r="H295">
        <v>4</v>
      </c>
      <c r="I295">
        <f>59.984+69.935</f>
        <v>129.91900000000001</v>
      </c>
      <c r="J295">
        <v>25.013000000000002</v>
      </c>
      <c r="K295">
        <f>(2.844+1.024+3.128+2.573)/4</f>
        <v>2.3922500000000002</v>
      </c>
      <c r="L295" s="8">
        <v>2</v>
      </c>
      <c r="M295" s="8" t="s">
        <v>454</v>
      </c>
      <c r="N295" s="14">
        <v>0</v>
      </c>
    </row>
    <row r="296" spans="1:16" x14ac:dyDescent="0.25">
      <c r="A296" t="s">
        <v>257</v>
      </c>
      <c r="B296" t="s">
        <v>746</v>
      </c>
      <c r="C296" t="s">
        <v>748</v>
      </c>
      <c r="D296" t="s">
        <v>749</v>
      </c>
      <c r="E296">
        <v>64</v>
      </c>
      <c r="F296" t="s">
        <v>326</v>
      </c>
      <c r="G296">
        <v>3</v>
      </c>
      <c r="H296">
        <v>4</v>
      </c>
      <c r="I296">
        <f>86.306+24.954+39.644</f>
        <v>150.904</v>
      </c>
      <c r="J296">
        <v>24.707999999999998</v>
      </c>
      <c r="K296">
        <f>(3.593+2.034+1.588+2.619)/4</f>
        <v>2.4584999999999999</v>
      </c>
      <c r="L296" s="8">
        <v>2</v>
      </c>
      <c r="M296" s="8" t="s">
        <v>454</v>
      </c>
      <c r="N296" s="14">
        <v>0</v>
      </c>
    </row>
    <row r="297" spans="1:16" x14ac:dyDescent="0.25">
      <c r="A297" t="s">
        <v>257</v>
      </c>
      <c r="B297" t="s">
        <v>746</v>
      </c>
      <c r="C297" t="s">
        <v>748</v>
      </c>
      <c r="D297" t="s">
        <v>749</v>
      </c>
      <c r="E297">
        <v>65</v>
      </c>
      <c r="F297" t="s">
        <v>327</v>
      </c>
      <c r="G297">
        <v>2</v>
      </c>
      <c r="H297">
        <v>2</v>
      </c>
      <c r="I297">
        <f>47.046+17.583</f>
        <v>64.628999999999991</v>
      </c>
      <c r="J297">
        <v>64.144000000000005</v>
      </c>
      <c r="K297">
        <f>(1.78+2.29+2.729)/3</f>
        <v>2.2663333333333333</v>
      </c>
      <c r="L297" s="8">
        <v>1</v>
      </c>
      <c r="M297" s="8" t="s">
        <v>454</v>
      </c>
      <c r="N297" s="14">
        <v>0</v>
      </c>
    </row>
    <row r="298" spans="1:16" x14ac:dyDescent="0.25">
      <c r="A298" t="s">
        <v>257</v>
      </c>
      <c r="B298" t="s">
        <v>746</v>
      </c>
      <c r="C298" t="s">
        <v>748</v>
      </c>
      <c r="D298" t="s">
        <v>749</v>
      </c>
      <c r="E298">
        <v>66</v>
      </c>
      <c r="F298" t="s">
        <v>328</v>
      </c>
      <c r="G298">
        <v>2</v>
      </c>
      <c r="H298">
        <v>2</v>
      </c>
      <c r="I298">
        <v>40.290999999999997</v>
      </c>
      <c r="J298">
        <v>64.286000000000001</v>
      </c>
      <c r="K298">
        <f>(4.707+5.698)/2</f>
        <v>5.2025000000000006</v>
      </c>
      <c r="L298" s="8">
        <v>0</v>
      </c>
      <c r="M298" s="8" t="s">
        <v>451</v>
      </c>
      <c r="N298" s="14" t="s">
        <v>452</v>
      </c>
    </row>
    <row r="299" spans="1:16" x14ac:dyDescent="0.25">
      <c r="A299" t="s">
        <v>257</v>
      </c>
      <c r="B299" t="s">
        <v>746</v>
      </c>
      <c r="C299" t="s">
        <v>748</v>
      </c>
      <c r="D299" t="s">
        <v>749</v>
      </c>
      <c r="E299">
        <v>67</v>
      </c>
      <c r="F299" t="s">
        <v>329</v>
      </c>
      <c r="G299">
        <v>2</v>
      </c>
      <c r="H299">
        <v>3</v>
      </c>
      <c r="I299">
        <v>53.284999999999997</v>
      </c>
      <c r="J299">
        <v>44.213999999999999</v>
      </c>
      <c r="K299">
        <f>(4.741+1.27)/2</f>
        <v>3.0054999999999996</v>
      </c>
      <c r="L299" s="8">
        <v>1</v>
      </c>
      <c r="M299" s="8" t="s">
        <v>451</v>
      </c>
      <c r="N299" s="14">
        <v>20.936</v>
      </c>
    </row>
    <row r="300" spans="1:16" x14ac:dyDescent="0.25">
      <c r="A300" t="s">
        <v>257</v>
      </c>
      <c r="B300" t="s">
        <v>746</v>
      </c>
      <c r="C300" t="s">
        <v>748</v>
      </c>
      <c r="D300" t="s">
        <v>749</v>
      </c>
      <c r="E300">
        <v>68</v>
      </c>
      <c r="F300" t="s">
        <v>330</v>
      </c>
      <c r="G300">
        <v>2</v>
      </c>
      <c r="H300">
        <v>2</v>
      </c>
      <c r="I300">
        <f>47.048+16.365</f>
        <v>63.412999999999997</v>
      </c>
      <c r="J300">
        <v>73.343999999999994</v>
      </c>
      <c r="K300">
        <f>(5.814+5.796)/2</f>
        <v>5.8049999999999997</v>
      </c>
      <c r="L300" s="8">
        <v>2</v>
      </c>
      <c r="M300" s="8" t="s">
        <v>454</v>
      </c>
      <c r="N300" s="14">
        <v>0</v>
      </c>
    </row>
    <row r="301" spans="1:16" x14ac:dyDescent="0.25">
      <c r="A301" t="s">
        <v>331</v>
      </c>
      <c r="B301" t="s">
        <v>746</v>
      </c>
      <c r="C301" t="s">
        <v>750</v>
      </c>
      <c r="D301" t="s">
        <v>749</v>
      </c>
      <c r="E301">
        <v>1</v>
      </c>
      <c r="F301" t="s">
        <v>333</v>
      </c>
      <c r="G301">
        <v>3</v>
      </c>
      <c r="H301">
        <v>4</v>
      </c>
      <c r="I301">
        <f>49.773+53.285+41.281</f>
        <v>144.339</v>
      </c>
      <c r="J301">
        <v>27.286999999999999</v>
      </c>
      <c r="K301">
        <f>(3.929+3.128)/2</f>
        <v>3.5285000000000002</v>
      </c>
      <c r="L301" s="8">
        <v>3</v>
      </c>
      <c r="M301" s="8" t="s">
        <v>454</v>
      </c>
      <c r="N301" s="14">
        <v>0</v>
      </c>
      <c r="P301" s="6" t="s">
        <v>332</v>
      </c>
    </row>
    <row r="302" spans="1:16" x14ac:dyDescent="0.25">
      <c r="A302" t="s">
        <v>331</v>
      </c>
      <c r="B302" t="s">
        <v>746</v>
      </c>
      <c r="C302" t="s">
        <v>750</v>
      </c>
      <c r="D302" t="s">
        <v>749</v>
      </c>
      <c r="E302">
        <v>2</v>
      </c>
      <c r="F302" t="s">
        <v>334</v>
      </c>
      <c r="G302">
        <v>3</v>
      </c>
      <c r="H302">
        <v>3</v>
      </c>
      <c r="I302">
        <v>94.652000000000001</v>
      </c>
      <c r="J302">
        <v>40.515999999999998</v>
      </c>
      <c r="K302">
        <f>(2.576+2.469)/2</f>
        <v>2.5225</v>
      </c>
      <c r="L302" s="8">
        <v>1</v>
      </c>
      <c r="M302" s="8" t="s">
        <v>451</v>
      </c>
      <c r="N302" s="14">
        <v>4.5640000000000001</v>
      </c>
      <c r="O302" s="1" t="s">
        <v>174</v>
      </c>
    </row>
    <row r="303" spans="1:16" x14ac:dyDescent="0.25">
      <c r="A303" t="s">
        <v>331</v>
      </c>
      <c r="B303" t="s">
        <v>746</v>
      </c>
      <c r="C303" t="s">
        <v>750</v>
      </c>
      <c r="D303" t="s">
        <v>749</v>
      </c>
      <c r="E303">
        <v>3</v>
      </c>
      <c r="F303" t="s">
        <v>335</v>
      </c>
      <c r="G303">
        <v>3</v>
      </c>
      <c r="H303">
        <v>3</v>
      </c>
      <c r="I303">
        <v>46.295000000000002</v>
      </c>
      <c r="J303">
        <v>40.031999999999996</v>
      </c>
      <c r="K303">
        <f>(3.921+3.239)/2</f>
        <v>3.58</v>
      </c>
      <c r="L303" s="8">
        <v>0</v>
      </c>
      <c r="M303" s="8" t="s">
        <v>451</v>
      </c>
      <c r="N303" s="14" t="s">
        <v>452</v>
      </c>
      <c r="O303" s="1" t="s">
        <v>174</v>
      </c>
    </row>
    <row r="304" spans="1:16" x14ac:dyDescent="0.25">
      <c r="A304" t="s">
        <v>331</v>
      </c>
      <c r="B304" t="s">
        <v>746</v>
      </c>
      <c r="C304" t="s">
        <v>750</v>
      </c>
      <c r="D304" t="s">
        <v>749</v>
      </c>
      <c r="E304">
        <v>4</v>
      </c>
      <c r="F304" t="s">
        <v>336</v>
      </c>
      <c r="G304">
        <v>3</v>
      </c>
      <c r="H304">
        <v>4</v>
      </c>
      <c r="I304">
        <v>93.655000000000001</v>
      </c>
      <c r="J304">
        <v>18.823</v>
      </c>
      <c r="K304">
        <f>(3.388+2.695)/2</f>
        <v>3.0415000000000001</v>
      </c>
      <c r="L304" s="8">
        <v>1</v>
      </c>
      <c r="M304" s="8" t="s">
        <v>454</v>
      </c>
      <c r="N304" s="14">
        <v>0</v>
      </c>
    </row>
    <row r="305" spans="1:14" x14ac:dyDescent="0.25">
      <c r="A305" t="s">
        <v>331</v>
      </c>
      <c r="B305" t="s">
        <v>746</v>
      </c>
      <c r="C305" t="s">
        <v>750</v>
      </c>
      <c r="D305" t="s">
        <v>749</v>
      </c>
      <c r="E305">
        <v>5</v>
      </c>
      <c r="F305" t="s">
        <v>337</v>
      </c>
      <c r="G305">
        <v>3</v>
      </c>
      <c r="H305">
        <v>3</v>
      </c>
      <c r="I305">
        <v>85.075000000000003</v>
      </c>
      <c r="J305">
        <v>38.417000000000002</v>
      </c>
      <c r="K305">
        <f>(1.213+1.198+3.054)/3</f>
        <v>1.8216666666666665</v>
      </c>
      <c r="L305" s="8">
        <v>0</v>
      </c>
      <c r="M305" s="8" t="s">
        <v>451</v>
      </c>
      <c r="N305" s="14" t="s">
        <v>452</v>
      </c>
    </row>
    <row r="306" spans="1:14" x14ac:dyDescent="0.25">
      <c r="A306" t="s">
        <v>331</v>
      </c>
      <c r="B306" t="s">
        <v>746</v>
      </c>
      <c r="C306" t="s">
        <v>750</v>
      </c>
      <c r="D306" t="s">
        <v>749</v>
      </c>
      <c r="E306">
        <v>6</v>
      </c>
      <c r="F306" t="s">
        <v>338</v>
      </c>
      <c r="G306">
        <v>3</v>
      </c>
      <c r="H306">
        <v>4</v>
      </c>
      <c r="I306">
        <f>54.849+30.936</f>
        <v>85.784999999999997</v>
      </c>
      <c r="J306">
        <v>22.664999999999999</v>
      </c>
      <c r="K306">
        <f>(2.561+3.279+2.205)/3</f>
        <v>2.6816666666666666</v>
      </c>
      <c r="L306" s="8">
        <v>1</v>
      </c>
      <c r="M306" s="8" t="s">
        <v>454</v>
      </c>
      <c r="N306" s="14">
        <v>0</v>
      </c>
    </row>
    <row r="307" spans="1:14" x14ac:dyDescent="0.25">
      <c r="A307" t="s">
        <v>331</v>
      </c>
      <c r="B307" t="s">
        <v>746</v>
      </c>
      <c r="C307" t="s">
        <v>750</v>
      </c>
      <c r="D307" t="s">
        <v>749</v>
      </c>
      <c r="E307">
        <v>7</v>
      </c>
      <c r="F307" t="s">
        <v>339</v>
      </c>
      <c r="G307">
        <v>3</v>
      </c>
      <c r="H307">
        <v>3</v>
      </c>
      <c r="I307">
        <f>75.421+63.088</f>
        <v>138.50900000000001</v>
      </c>
      <c r="J307">
        <v>31.530999999999999</v>
      </c>
      <c r="K307">
        <f>(2.743+3.066)/2</f>
        <v>2.9044999999999996</v>
      </c>
      <c r="L307" s="8">
        <v>1</v>
      </c>
      <c r="M307" s="8" t="s">
        <v>451</v>
      </c>
      <c r="N307" s="14">
        <v>11.898</v>
      </c>
    </row>
    <row r="308" spans="1:14" x14ac:dyDescent="0.25">
      <c r="A308" t="s">
        <v>331</v>
      </c>
      <c r="B308" t="s">
        <v>746</v>
      </c>
      <c r="C308" t="s">
        <v>750</v>
      </c>
      <c r="D308" t="s">
        <v>749</v>
      </c>
      <c r="E308">
        <v>8</v>
      </c>
      <c r="F308" t="s">
        <v>340</v>
      </c>
      <c r="G308">
        <v>3</v>
      </c>
      <c r="H308">
        <v>3</v>
      </c>
      <c r="I308">
        <f>69.96+8.625</f>
        <v>78.584999999999994</v>
      </c>
      <c r="J308">
        <v>58.314</v>
      </c>
      <c r="K308">
        <f>(3.774+3.037)/2</f>
        <v>3.4055</v>
      </c>
      <c r="L308" s="8">
        <v>2</v>
      </c>
      <c r="M308" s="8" t="s">
        <v>451</v>
      </c>
      <c r="N308" s="14">
        <v>28.082000000000001</v>
      </c>
    </row>
    <row r="309" spans="1:14" x14ac:dyDescent="0.25">
      <c r="A309" t="s">
        <v>331</v>
      </c>
      <c r="B309" t="s">
        <v>746</v>
      </c>
      <c r="C309" t="s">
        <v>750</v>
      </c>
      <c r="D309" t="s">
        <v>749</v>
      </c>
      <c r="E309">
        <v>9</v>
      </c>
      <c r="F309" t="s">
        <v>341</v>
      </c>
      <c r="G309">
        <v>3</v>
      </c>
      <c r="H309">
        <v>3</v>
      </c>
      <c r="I309">
        <f>72.144+29.805</f>
        <v>101.94900000000001</v>
      </c>
      <c r="J309">
        <v>48.177999999999997</v>
      </c>
      <c r="K309">
        <f>(3.677+2.638+3.22)/3</f>
        <v>3.1783333333333332</v>
      </c>
      <c r="L309" s="8">
        <v>1</v>
      </c>
      <c r="M309" s="8" t="s">
        <v>454</v>
      </c>
      <c r="N309" s="14">
        <v>0</v>
      </c>
    </row>
    <row r="310" spans="1:14" x14ac:dyDescent="0.25">
      <c r="A310" t="s">
        <v>331</v>
      </c>
      <c r="B310" t="s">
        <v>746</v>
      </c>
      <c r="C310" t="s">
        <v>750</v>
      </c>
      <c r="D310" t="s">
        <v>749</v>
      </c>
      <c r="E310">
        <v>10</v>
      </c>
      <c r="F310" t="s">
        <v>342</v>
      </c>
      <c r="G310">
        <v>3</v>
      </c>
      <c r="H310">
        <v>4</v>
      </c>
      <c r="I310">
        <f>89.614+4.658</f>
        <v>94.272000000000006</v>
      </c>
      <c r="J310">
        <v>29.332000000000001</v>
      </c>
      <c r="K310">
        <f>(3.351+2.652)/2</f>
        <v>3.0015000000000001</v>
      </c>
      <c r="L310" s="8">
        <v>2</v>
      </c>
      <c r="M310" s="8" t="s">
        <v>454</v>
      </c>
      <c r="N310" s="14">
        <v>0</v>
      </c>
    </row>
    <row r="311" spans="1:14" x14ac:dyDescent="0.25">
      <c r="A311" t="s">
        <v>331</v>
      </c>
      <c r="B311" t="s">
        <v>746</v>
      </c>
      <c r="C311" t="s">
        <v>750</v>
      </c>
      <c r="D311" t="s">
        <v>749</v>
      </c>
      <c r="E311">
        <v>11</v>
      </c>
      <c r="F311" t="s">
        <v>343</v>
      </c>
      <c r="G311">
        <v>3</v>
      </c>
      <c r="H311">
        <v>4</v>
      </c>
      <c r="I311">
        <v>71.650999999999996</v>
      </c>
      <c r="J311">
        <v>28.312000000000001</v>
      </c>
      <c r="K311">
        <f>(3.135+2.373)/2</f>
        <v>2.754</v>
      </c>
      <c r="L311" s="8">
        <v>0</v>
      </c>
      <c r="M311" s="8" t="s">
        <v>451</v>
      </c>
      <c r="N311" s="14" t="s">
        <v>452</v>
      </c>
    </row>
    <row r="312" spans="1:14" x14ac:dyDescent="0.25">
      <c r="A312" t="s">
        <v>331</v>
      </c>
      <c r="B312" t="s">
        <v>746</v>
      </c>
      <c r="C312" t="s">
        <v>750</v>
      </c>
      <c r="D312" t="s">
        <v>749</v>
      </c>
      <c r="E312">
        <v>12</v>
      </c>
      <c r="F312" t="s">
        <v>344</v>
      </c>
      <c r="G312">
        <v>3</v>
      </c>
      <c r="H312">
        <v>4</v>
      </c>
      <c r="I312">
        <v>43.869</v>
      </c>
      <c r="J312">
        <v>19.97</v>
      </c>
      <c r="K312">
        <f>(2.732+2.29)/2</f>
        <v>2.5110000000000001</v>
      </c>
      <c r="L312" s="8">
        <v>0</v>
      </c>
      <c r="M312" s="8" t="s">
        <v>451</v>
      </c>
      <c r="N312" s="14" t="s">
        <v>452</v>
      </c>
    </row>
    <row r="313" spans="1:14" x14ac:dyDescent="0.25">
      <c r="A313" t="s">
        <v>331</v>
      </c>
      <c r="B313" t="s">
        <v>746</v>
      </c>
      <c r="C313" t="s">
        <v>750</v>
      </c>
      <c r="D313" t="s">
        <v>749</v>
      </c>
      <c r="E313">
        <v>13</v>
      </c>
      <c r="F313" t="s">
        <v>345</v>
      </c>
      <c r="G313">
        <v>3</v>
      </c>
      <c r="H313">
        <v>4</v>
      </c>
      <c r="I313">
        <v>88.813000000000002</v>
      </c>
      <c r="J313">
        <v>14.403</v>
      </c>
      <c r="K313">
        <f>(2.855+3.115)/2</f>
        <v>2.9850000000000003</v>
      </c>
      <c r="L313" s="8">
        <v>1</v>
      </c>
      <c r="M313" s="8" t="s">
        <v>451</v>
      </c>
      <c r="N313" s="14">
        <v>5.99</v>
      </c>
    </row>
    <row r="314" spans="1:14" x14ac:dyDescent="0.25">
      <c r="A314" t="s">
        <v>331</v>
      </c>
      <c r="B314" t="s">
        <v>746</v>
      </c>
      <c r="C314" t="s">
        <v>750</v>
      </c>
      <c r="D314" t="s">
        <v>749</v>
      </c>
      <c r="E314">
        <v>14</v>
      </c>
      <c r="F314" t="s">
        <v>346</v>
      </c>
      <c r="G314">
        <v>3</v>
      </c>
      <c r="H314">
        <v>4</v>
      </c>
      <c r="I314">
        <v>61.393000000000001</v>
      </c>
      <c r="J314">
        <v>19.838999999999999</v>
      </c>
      <c r="K314">
        <f>(1.895+2.714)/2</f>
        <v>2.3045</v>
      </c>
      <c r="L314" s="8">
        <v>0</v>
      </c>
      <c r="M314" s="8" t="s">
        <v>451</v>
      </c>
      <c r="N314" s="14" t="s">
        <v>452</v>
      </c>
    </row>
    <row r="315" spans="1:14" x14ac:dyDescent="0.25">
      <c r="A315" t="s">
        <v>331</v>
      </c>
      <c r="B315" t="s">
        <v>746</v>
      </c>
      <c r="C315" t="s">
        <v>750</v>
      </c>
      <c r="D315" t="s">
        <v>749</v>
      </c>
      <c r="E315">
        <v>15</v>
      </c>
      <c r="F315" t="s">
        <v>347</v>
      </c>
      <c r="G315">
        <v>3</v>
      </c>
      <c r="H315">
        <v>4</v>
      </c>
      <c r="I315">
        <v>86.558999999999997</v>
      </c>
      <c r="J315">
        <v>33.179000000000002</v>
      </c>
      <c r="K315">
        <f>(3.621+2.732)/2</f>
        <v>3.1764999999999999</v>
      </c>
      <c r="L315" s="8">
        <v>0</v>
      </c>
      <c r="M315" s="8" t="s">
        <v>451</v>
      </c>
      <c r="N315" s="14" t="s">
        <v>452</v>
      </c>
    </row>
    <row r="316" spans="1:14" x14ac:dyDescent="0.25">
      <c r="A316" t="s">
        <v>331</v>
      </c>
      <c r="B316" t="s">
        <v>746</v>
      </c>
      <c r="C316" t="s">
        <v>750</v>
      </c>
      <c r="D316" t="s">
        <v>749</v>
      </c>
      <c r="E316">
        <v>16</v>
      </c>
      <c r="F316" t="s">
        <v>348</v>
      </c>
      <c r="G316">
        <v>3</v>
      </c>
      <c r="H316">
        <v>4</v>
      </c>
      <c r="I316">
        <v>103.923</v>
      </c>
      <c r="J316">
        <v>26.731000000000002</v>
      </c>
      <c r="K316">
        <f>(3.205+3.27)/2</f>
        <v>3.2374999999999998</v>
      </c>
      <c r="L316" s="8">
        <v>0</v>
      </c>
      <c r="M316" s="8" t="s">
        <v>451</v>
      </c>
      <c r="N316" s="14" t="s">
        <v>452</v>
      </c>
    </row>
    <row r="317" spans="1:14" x14ac:dyDescent="0.25">
      <c r="A317" t="s">
        <v>331</v>
      </c>
      <c r="B317" t="s">
        <v>746</v>
      </c>
      <c r="C317" t="s">
        <v>750</v>
      </c>
      <c r="D317" t="s">
        <v>749</v>
      </c>
      <c r="E317">
        <v>17</v>
      </c>
      <c r="F317" t="s">
        <v>349</v>
      </c>
      <c r="G317">
        <v>3</v>
      </c>
      <c r="H317">
        <v>4</v>
      </c>
      <c r="I317">
        <v>82.933999999999997</v>
      </c>
      <c r="J317">
        <v>15.025</v>
      </c>
      <c r="K317">
        <f>(2.631+3.482)/2</f>
        <v>3.0564999999999998</v>
      </c>
      <c r="L317" s="8">
        <v>0</v>
      </c>
      <c r="M317" s="8" t="s">
        <v>451</v>
      </c>
      <c r="N317" s="14" t="s">
        <v>452</v>
      </c>
    </row>
    <row r="318" spans="1:14" x14ac:dyDescent="0.25">
      <c r="A318" t="s">
        <v>331</v>
      </c>
      <c r="B318" t="s">
        <v>746</v>
      </c>
      <c r="C318" t="s">
        <v>750</v>
      </c>
      <c r="D318" t="s">
        <v>749</v>
      </c>
      <c r="E318">
        <v>18</v>
      </c>
      <c r="F318" t="s">
        <v>350</v>
      </c>
      <c r="G318">
        <v>3</v>
      </c>
      <c r="H318">
        <v>4</v>
      </c>
      <c r="I318">
        <f>49.268+16.278</f>
        <v>65.545999999999992</v>
      </c>
      <c r="J318">
        <v>18.792000000000002</v>
      </c>
      <c r="K318">
        <f>(2.427+2.654)/2</f>
        <v>2.5404999999999998</v>
      </c>
      <c r="L318" s="8">
        <v>1</v>
      </c>
      <c r="M318" s="8" t="s">
        <v>451</v>
      </c>
      <c r="N318" s="14">
        <v>9.3279999999999994</v>
      </c>
    </row>
    <row r="319" spans="1:14" x14ac:dyDescent="0.25">
      <c r="A319" t="s">
        <v>331</v>
      </c>
      <c r="B319" t="s">
        <v>746</v>
      </c>
      <c r="C319" t="s">
        <v>750</v>
      </c>
      <c r="D319" t="s">
        <v>749</v>
      </c>
      <c r="E319">
        <v>19</v>
      </c>
      <c r="F319" t="s">
        <v>351</v>
      </c>
      <c r="G319">
        <v>3</v>
      </c>
      <c r="H319">
        <v>4</v>
      </c>
      <c r="I319">
        <v>111.624</v>
      </c>
      <c r="J319">
        <v>29.428999999999998</v>
      </c>
      <c r="K319">
        <f>(2.703+2.573)/2</f>
        <v>2.6379999999999999</v>
      </c>
      <c r="L319" s="8">
        <v>0</v>
      </c>
      <c r="M319" s="8" t="s">
        <v>451</v>
      </c>
      <c r="N319" s="14" t="s">
        <v>452</v>
      </c>
    </row>
    <row r="320" spans="1:14" x14ac:dyDescent="0.25">
      <c r="A320" t="s">
        <v>331</v>
      </c>
      <c r="B320" t="s">
        <v>746</v>
      </c>
      <c r="C320" t="s">
        <v>750</v>
      </c>
      <c r="D320" t="s">
        <v>749</v>
      </c>
      <c r="E320">
        <v>20</v>
      </c>
      <c r="F320" t="s">
        <v>352</v>
      </c>
      <c r="G320">
        <v>3</v>
      </c>
      <c r="H320">
        <v>3</v>
      </c>
      <c r="I320">
        <v>91.679000000000002</v>
      </c>
      <c r="J320">
        <v>42.256999999999998</v>
      </c>
      <c r="K320">
        <f>(1.563+3.508)/2</f>
        <v>2.5354999999999999</v>
      </c>
      <c r="L320" s="8">
        <v>0</v>
      </c>
      <c r="M320" s="8" t="s">
        <v>451</v>
      </c>
      <c r="N320" s="14" t="s">
        <v>452</v>
      </c>
    </row>
    <row r="321" spans="1:15" x14ac:dyDescent="0.25">
      <c r="A321" t="s">
        <v>331</v>
      </c>
      <c r="B321" t="s">
        <v>746</v>
      </c>
      <c r="C321" t="s">
        <v>750</v>
      </c>
      <c r="D321" t="s">
        <v>749</v>
      </c>
      <c r="E321">
        <v>21</v>
      </c>
      <c r="F321" t="s">
        <v>353</v>
      </c>
      <c r="G321">
        <v>3</v>
      </c>
      <c r="H321">
        <v>3</v>
      </c>
      <c r="I321">
        <f>64.787+17.849</f>
        <v>82.63600000000001</v>
      </c>
      <c r="J321">
        <v>51.345999999999997</v>
      </c>
      <c r="K321">
        <f>(2.847+4.088+5.36)/3</f>
        <v>4.0983333333333336</v>
      </c>
      <c r="L321" s="8">
        <v>1</v>
      </c>
      <c r="M321" s="8" t="s">
        <v>454</v>
      </c>
      <c r="N321" s="14">
        <v>0</v>
      </c>
    </row>
    <row r="322" spans="1:15" x14ac:dyDescent="0.25">
      <c r="A322" t="s">
        <v>331</v>
      </c>
      <c r="B322" t="s">
        <v>746</v>
      </c>
      <c r="C322" t="s">
        <v>750</v>
      </c>
      <c r="D322" t="s">
        <v>749</v>
      </c>
      <c r="E322">
        <v>22</v>
      </c>
      <c r="F322" t="s">
        <v>354</v>
      </c>
      <c r="G322">
        <v>3</v>
      </c>
      <c r="H322">
        <v>3</v>
      </c>
      <c r="I322">
        <f>63.608+42.384</f>
        <v>105.99199999999999</v>
      </c>
      <c r="J322">
        <v>46.183999999999997</v>
      </c>
      <c r="K322">
        <f>(3.421+2.841)/2</f>
        <v>3.1310000000000002</v>
      </c>
      <c r="L322" s="8">
        <v>2</v>
      </c>
      <c r="M322" s="8" t="s">
        <v>451</v>
      </c>
      <c r="N322" s="14">
        <v>7.3860000000000001</v>
      </c>
    </row>
    <row r="323" spans="1:15" x14ac:dyDescent="0.25">
      <c r="A323" t="s">
        <v>331</v>
      </c>
      <c r="B323" t="s">
        <v>746</v>
      </c>
      <c r="C323" t="s">
        <v>750</v>
      </c>
      <c r="D323" t="s">
        <v>749</v>
      </c>
      <c r="E323">
        <v>23</v>
      </c>
      <c r="F323" t="s">
        <v>355</v>
      </c>
      <c r="G323">
        <v>3</v>
      </c>
      <c r="H323">
        <v>4</v>
      </c>
      <c r="I323">
        <v>54.29</v>
      </c>
      <c r="J323">
        <v>31.861999999999998</v>
      </c>
      <c r="K323">
        <f>(2.703+2.897)/2</f>
        <v>2.8</v>
      </c>
      <c r="L323" s="8">
        <v>0</v>
      </c>
      <c r="M323" s="8" t="s">
        <v>451</v>
      </c>
      <c r="N323" s="14" t="s">
        <v>452</v>
      </c>
      <c r="O323" s="1" t="s">
        <v>158</v>
      </c>
    </row>
    <row r="324" spans="1:15" x14ac:dyDescent="0.25">
      <c r="A324" t="s">
        <v>331</v>
      </c>
      <c r="B324" t="s">
        <v>746</v>
      </c>
      <c r="C324" t="s">
        <v>750</v>
      </c>
      <c r="D324" t="s">
        <v>749</v>
      </c>
      <c r="E324">
        <v>24</v>
      </c>
      <c r="F324" t="s">
        <v>356</v>
      </c>
      <c r="G324">
        <v>3</v>
      </c>
      <c r="H324">
        <v>3</v>
      </c>
      <c r="I324">
        <f>80.392+25.187</f>
        <v>105.57899999999999</v>
      </c>
      <c r="J324">
        <v>37.731999999999999</v>
      </c>
      <c r="K324">
        <f>(3.054+4.941+2.758)/3</f>
        <v>3.5843333333333334</v>
      </c>
      <c r="L324" s="8">
        <v>1</v>
      </c>
      <c r="M324" s="8" t="s">
        <v>454</v>
      </c>
      <c r="N324" s="14">
        <v>0</v>
      </c>
    </row>
    <row r="325" spans="1:15" x14ac:dyDescent="0.25">
      <c r="A325" t="s">
        <v>331</v>
      </c>
      <c r="B325" t="s">
        <v>746</v>
      </c>
      <c r="C325" t="s">
        <v>750</v>
      </c>
      <c r="D325" t="s">
        <v>749</v>
      </c>
      <c r="E325">
        <v>25</v>
      </c>
      <c r="F325" t="s">
        <v>357</v>
      </c>
      <c r="G325">
        <v>3</v>
      </c>
      <c r="H325">
        <v>4</v>
      </c>
      <c r="I325">
        <f>49.004+52.123+45.597</f>
        <v>146.72399999999999</v>
      </c>
      <c r="J325">
        <v>26.538</v>
      </c>
      <c r="K325">
        <f>(2.097+3.962)/2</f>
        <v>3.0295000000000001</v>
      </c>
      <c r="L325" s="8">
        <v>2</v>
      </c>
      <c r="M325" s="8" t="s">
        <v>454</v>
      </c>
      <c r="N325" s="14">
        <v>0</v>
      </c>
    </row>
    <row r="326" spans="1:15" x14ac:dyDescent="0.25">
      <c r="A326" t="s">
        <v>331</v>
      </c>
      <c r="B326" t="s">
        <v>746</v>
      </c>
      <c r="C326" t="s">
        <v>750</v>
      </c>
      <c r="D326" t="s">
        <v>749</v>
      </c>
      <c r="E326">
        <v>26</v>
      </c>
      <c r="F326" t="s">
        <v>358</v>
      </c>
      <c r="G326">
        <v>2</v>
      </c>
      <c r="H326">
        <v>2</v>
      </c>
      <c r="I326">
        <v>70.206000000000003</v>
      </c>
      <c r="J326">
        <v>49.866999999999997</v>
      </c>
      <c r="K326">
        <f>(7.158+6.561)/2</f>
        <v>6.8595000000000006</v>
      </c>
      <c r="L326" s="8">
        <v>0</v>
      </c>
      <c r="M326" s="8" t="s">
        <v>451</v>
      </c>
      <c r="N326" s="14" t="s">
        <v>452</v>
      </c>
    </row>
    <row r="327" spans="1:15" x14ac:dyDescent="0.25">
      <c r="A327" t="s">
        <v>331</v>
      </c>
      <c r="B327" t="s">
        <v>746</v>
      </c>
      <c r="C327" t="s">
        <v>750</v>
      </c>
      <c r="D327" t="s">
        <v>749</v>
      </c>
      <c r="E327">
        <v>27</v>
      </c>
      <c r="F327" t="s">
        <v>359</v>
      </c>
      <c r="G327">
        <v>3</v>
      </c>
      <c r="H327">
        <v>3</v>
      </c>
      <c r="I327">
        <f>58.818</f>
        <v>58.817999999999998</v>
      </c>
      <c r="J327">
        <v>69.977999999999994</v>
      </c>
      <c r="K327">
        <f>(4.235+2.425)/2</f>
        <v>3.33</v>
      </c>
      <c r="L327" s="8">
        <v>0</v>
      </c>
      <c r="M327" s="8" t="s">
        <v>451</v>
      </c>
      <c r="N327" s="14" t="s">
        <v>452</v>
      </c>
    </row>
    <row r="328" spans="1:15" x14ac:dyDescent="0.25">
      <c r="A328" t="s">
        <v>331</v>
      </c>
      <c r="B328" t="s">
        <v>746</v>
      </c>
      <c r="C328" t="s">
        <v>750</v>
      </c>
      <c r="D328" t="s">
        <v>749</v>
      </c>
      <c r="E328">
        <v>28</v>
      </c>
      <c r="F328" t="s">
        <v>360</v>
      </c>
      <c r="G328">
        <v>3</v>
      </c>
      <c r="H328">
        <v>3</v>
      </c>
      <c r="I328">
        <f>79.051+7.799</f>
        <v>86.850000000000009</v>
      </c>
      <c r="J328">
        <v>41.536000000000001</v>
      </c>
      <c r="K328">
        <f>(1.569+2.791)/2</f>
        <v>2.1799999999999997</v>
      </c>
      <c r="L328" s="8">
        <v>1</v>
      </c>
      <c r="M328" s="8" t="s">
        <v>451</v>
      </c>
      <c r="N328" s="14">
        <v>17.507999999999999</v>
      </c>
    </row>
    <row r="329" spans="1:15" x14ac:dyDescent="0.25">
      <c r="A329" t="s">
        <v>331</v>
      </c>
      <c r="B329" t="s">
        <v>746</v>
      </c>
      <c r="C329" t="s">
        <v>750</v>
      </c>
      <c r="D329" t="s">
        <v>749</v>
      </c>
      <c r="E329">
        <v>29</v>
      </c>
      <c r="F329" t="s">
        <v>361</v>
      </c>
      <c r="G329">
        <v>3</v>
      </c>
      <c r="H329">
        <v>4</v>
      </c>
      <c r="I329">
        <f>89.383+60.583</f>
        <v>149.96600000000001</v>
      </c>
      <c r="J329">
        <v>22.228000000000002</v>
      </c>
      <c r="K329">
        <f>(3.27+2.034+4.238)/3</f>
        <v>3.1806666666666672</v>
      </c>
      <c r="L329" s="8">
        <v>1</v>
      </c>
      <c r="M329" s="8" t="s">
        <v>454</v>
      </c>
      <c r="N329" s="14">
        <v>0</v>
      </c>
    </row>
    <row r="330" spans="1:15" x14ac:dyDescent="0.25">
      <c r="A330" t="s">
        <v>331</v>
      </c>
      <c r="B330" t="s">
        <v>746</v>
      </c>
      <c r="C330" t="s">
        <v>750</v>
      </c>
      <c r="D330" t="s">
        <v>749</v>
      </c>
      <c r="E330">
        <v>30</v>
      </c>
      <c r="F330" t="s">
        <v>362</v>
      </c>
      <c r="G330">
        <v>3</v>
      </c>
      <c r="H330">
        <v>4</v>
      </c>
      <c r="I330">
        <f>99.137+30.85+11.955</f>
        <v>141.94200000000001</v>
      </c>
      <c r="J330">
        <v>22.036000000000001</v>
      </c>
      <c r="K330">
        <f>(2.842+3.021+2.367)/3</f>
        <v>2.7433333333333336</v>
      </c>
      <c r="L330" s="8">
        <v>2</v>
      </c>
      <c r="M330" s="8" t="s">
        <v>454</v>
      </c>
      <c r="N330" s="14">
        <v>0</v>
      </c>
    </row>
    <row r="331" spans="1:15" x14ac:dyDescent="0.25">
      <c r="A331" t="s">
        <v>331</v>
      </c>
      <c r="B331" t="s">
        <v>746</v>
      </c>
      <c r="C331" t="s">
        <v>750</v>
      </c>
      <c r="D331" t="s">
        <v>749</v>
      </c>
      <c r="E331">
        <v>31</v>
      </c>
      <c r="F331" t="s">
        <v>363</v>
      </c>
      <c r="G331">
        <v>3</v>
      </c>
      <c r="H331">
        <v>4</v>
      </c>
      <c r="I331">
        <v>69.176000000000002</v>
      </c>
      <c r="J331">
        <v>22.477</v>
      </c>
      <c r="K331">
        <f>(2.103+2.019)/2</f>
        <v>2.0609999999999999</v>
      </c>
      <c r="L331" s="8">
        <v>0</v>
      </c>
      <c r="M331" s="8" t="s">
        <v>451</v>
      </c>
      <c r="N331" s="14" t="s">
        <v>452</v>
      </c>
    </row>
    <row r="332" spans="1:15" x14ac:dyDescent="0.25">
      <c r="A332" t="s">
        <v>331</v>
      </c>
      <c r="B332" t="s">
        <v>746</v>
      </c>
      <c r="C332" t="s">
        <v>750</v>
      </c>
      <c r="D332" t="s">
        <v>749</v>
      </c>
      <c r="E332">
        <v>32</v>
      </c>
      <c r="F332" t="s">
        <v>364</v>
      </c>
      <c r="G332">
        <v>3</v>
      </c>
      <c r="H332">
        <v>4</v>
      </c>
      <c r="I332">
        <f>62.835+24.495</f>
        <v>87.33</v>
      </c>
      <c r="J332">
        <v>27.468</v>
      </c>
      <c r="K332">
        <f>(3.119+2.758)/2</f>
        <v>2.9385000000000003</v>
      </c>
      <c r="L332" s="8">
        <v>1</v>
      </c>
      <c r="M332" s="8" t="s">
        <v>454</v>
      </c>
      <c r="N332" s="14">
        <v>0</v>
      </c>
    </row>
    <row r="333" spans="1:15" x14ac:dyDescent="0.25">
      <c r="A333" t="s">
        <v>331</v>
      </c>
      <c r="B333" t="s">
        <v>746</v>
      </c>
      <c r="C333" t="s">
        <v>750</v>
      </c>
      <c r="D333" t="s">
        <v>749</v>
      </c>
      <c r="E333">
        <v>33</v>
      </c>
      <c r="F333" t="s">
        <v>365</v>
      </c>
      <c r="G333">
        <v>3</v>
      </c>
      <c r="H333">
        <v>3</v>
      </c>
      <c r="I333">
        <v>57.481000000000002</v>
      </c>
      <c r="J333">
        <v>40.665999999999997</v>
      </c>
      <c r="K333">
        <f>(3.032+3.336)/2</f>
        <v>3.1840000000000002</v>
      </c>
      <c r="L333" s="8">
        <v>0</v>
      </c>
      <c r="M333" s="8" t="s">
        <v>451</v>
      </c>
      <c r="N333" s="14" t="s">
        <v>452</v>
      </c>
    </row>
    <row r="334" spans="1:15" x14ac:dyDescent="0.25">
      <c r="A334" t="s">
        <v>331</v>
      </c>
      <c r="B334" t="s">
        <v>746</v>
      </c>
      <c r="C334" t="s">
        <v>750</v>
      </c>
      <c r="D334" t="s">
        <v>749</v>
      </c>
      <c r="E334">
        <v>34</v>
      </c>
      <c r="F334" t="s">
        <v>366</v>
      </c>
      <c r="G334">
        <v>3</v>
      </c>
      <c r="H334">
        <v>4</v>
      </c>
      <c r="I334">
        <v>123.84</v>
      </c>
      <c r="J334">
        <v>22.247</v>
      </c>
      <c r="K334">
        <f>(2.527+2.631)/2</f>
        <v>2.5789999999999997</v>
      </c>
      <c r="L334" s="8">
        <v>0</v>
      </c>
      <c r="M334" s="8" t="s">
        <v>451</v>
      </c>
      <c r="N334" s="14" t="s">
        <v>452</v>
      </c>
    </row>
    <row r="335" spans="1:15" x14ac:dyDescent="0.25">
      <c r="A335" t="s">
        <v>331</v>
      </c>
      <c r="B335" t="s">
        <v>746</v>
      </c>
      <c r="C335" t="s">
        <v>750</v>
      </c>
      <c r="D335" t="s">
        <v>749</v>
      </c>
      <c r="E335">
        <v>35</v>
      </c>
      <c r="F335" t="s">
        <v>367</v>
      </c>
      <c r="G335">
        <v>3</v>
      </c>
      <c r="H335">
        <v>4</v>
      </c>
      <c r="I335">
        <v>124.279</v>
      </c>
      <c r="J335">
        <v>25.178999999999998</v>
      </c>
      <c r="K335">
        <f>(2.966+3.987)/2</f>
        <v>3.4765000000000001</v>
      </c>
      <c r="L335" s="8">
        <v>0</v>
      </c>
      <c r="M335" s="8" t="s">
        <v>451</v>
      </c>
      <c r="N335" s="14" t="s">
        <v>452</v>
      </c>
    </row>
    <row r="336" spans="1:15" x14ac:dyDescent="0.25">
      <c r="A336" t="s">
        <v>331</v>
      </c>
      <c r="B336" t="s">
        <v>746</v>
      </c>
      <c r="C336" t="s">
        <v>750</v>
      </c>
      <c r="D336" t="s">
        <v>749</v>
      </c>
      <c r="E336">
        <v>36</v>
      </c>
      <c r="F336" t="s">
        <v>368</v>
      </c>
      <c r="G336">
        <v>3</v>
      </c>
      <c r="H336">
        <v>4</v>
      </c>
      <c r="I336">
        <v>92.328000000000003</v>
      </c>
      <c r="J336">
        <v>21.123000000000001</v>
      </c>
      <c r="K336">
        <f>(2.159+2.288)/2</f>
        <v>2.2234999999999996</v>
      </c>
      <c r="L336" s="8">
        <v>0</v>
      </c>
      <c r="M336" s="8" t="s">
        <v>451</v>
      </c>
      <c r="N336" s="14" t="s">
        <v>452</v>
      </c>
    </row>
    <row r="337" spans="1:15" x14ac:dyDescent="0.25">
      <c r="A337" t="s">
        <v>331</v>
      </c>
      <c r="B337" t="s">
        <v>746</v>
      </c>
      <c r="C337" t="s">
        <v>750</v>
      </c>
      <c r="D337" t="s">
        <v>749</v>
      </c>
      <c r="E337">
        <v>37</v>
      </c>
      <c r="F337" t="s">
        <v>369</v>
      </c>
      <c r="G337">
        <v>3</v>
      </c>
      <c r="H337">
        <v>3</v>
      </c>
      <c r="I337">
        <v>79.983000000000004</v>
      </c>
      <c r="J337">
        <v>42.146000000000001</v>
      </c>
      <c r="K337">
        <f>(3.643+2.847)/2</f>
        <v>3.2450000000000001</v>
      </c>
      <c r="L337" s="8">
        <v>0</v>
      </c>
      <c r="M337" s="8" t="s">
        <v>451</v>
      </c>
      <c r="N337" s="14" t="s">
        <v>452</v>
      </c>
    </row>
    <row r="338" spans="1:15" x14ac:dyDescent="0.25">
      <c r="A338" t="s">
        <v>331</v>
      </c>
      <c r="B338" t="s">
        <v>746</v>
      </c>
      <c r="C338" t="s">
        <v>750</v>
      </c>
      <c r="D338" t="s">
        <v>749</v>
      </c>
      <c r="E338">
        <v>38</v>
      </c>
      <c r="F338" t="s">
        <v>370</v>
      </c>
      <c r="G338">
        <v>3</v>
      </c>
      <c r="H338">
        <v>4</v>
      </c>
      <c r="I338">
        <v>99.763999999999996</v>
      </c>
      <c r="J338">
        <v>18.928999999999998</v>
      </c>
      <c r="K338">
        <f>(3.414+2.897)/2</f>
        <v>3.1555</v>
      </c>
      <c r="L338" s="8">
        <v>0</v>
      </c>
      <c r="M338" s="8" t="s">
        <v>451</v>
      </c>
      <c r="N338" s="14" t="s">
        <v>452</v>
      </c>
    </row>
    <row r="339" spans="1:15" x14ac:dyDescent="0.25">
      <c r="A339" t="s">
        <v>331</v>
      </c>
      <c r="B339" t="s">
        <v>746</v>
      </c>
      <c r="C339" t="s">
        <v>750</v>
      </c>
      <c r="D339" t="s">
        <v>749</v>
      </c>
      <c r="E339">
        <v>39</v>
      </c>
      <c r="F339" t="s">
        <v>371</v>
      </c>
      <c r="G339">
        <v>3</v>
      </c>
      <c r="H339">
        <v>4</v>
      </c>
      <c r="I339">
        <v>98.876000000000005</v>
      </c>
      <c r="J339">
        <v>33.183</v>
      </c>
      <c r="K339">
        <f>(1.716+1.868)/2</f>
        <v>1.792</v>
      </c>
      <c r="L339" s="8">
        <v>0</v>
      </c>
      <c r="M339" s="8" t="s">
        <v>451</v>
      </c>
      <c r="N339" s="14" t="s">
        <v>452</v>
      </c>
      <c r="O339" s="1" t="s">
        <v>158</v>
      </c>
    </row>
    <row r="340" spans="1:15" x14ac:dyDescent="0.25">
      <c r="A340" t="s">
        <v>331</v>
      </c>
      <c r="B340" t="s">
        <v>746</v>
      </c>
      <c r="C340" t="s">
        <v>750</v>
      </c>
      <c r="D340" t="s">
        <v>749</v>
      </c>
      <c r="E340">
        <v>40</v>
      </c>
      <c r="F340" t="s">
        <v>372</v>
      </c>
      <c r="G340">
        <v>3</v>
      </c>
      <c r="H340">
        <v>3</v>
      </c>
      <c r="I340">
        <f>32.106+35.665+12.75</f>
        <v>80.521000000000001</v>
      </c>
      <c r="J340">
        <v>44.454999999999998</v>
      </c>
      <c r="K340">
        <f>(2.516+2.079)/2</f>
        <v>2.2975000000000003</v>
      </c>
      <c r="L340" s="8">
        <v>2</v>
      </c>
      <c r="M340" s="8" t="s">
        <v>454</v>
      </c>
      <c r="N340" s="14">
        <v>0</v>
      </c>
    </row>
    <row r="341" spans="1:15" x14ac:dyDescent="0.25">
      <c r="A341" t="s">
        <v>331</v>
      </c>
      <c r="B341" t="s">
        <v>746</v>
      </c>
      <c r="C341" t="s">
        <v>750</v>
      </c>
      <c r="D341" t="s">
        <v>749</v>
      </c>
      <c r="E341">
        <v>41</v>
      </c>
      <c r="F341" t="s">
        <v>373</v>
      </c>
      <c r="G341">
        <v>3</v>
      </c>
      <c r="H341">
        <v>3</v>
      </c>
      <c r="I341">
        <f>66.667+6.25</f>
        <v>72.917000000000002</v>
      </c>
      <c r="J341">
        <v>42.646000000000001</v>
      </c>
      <c r="K341">
        <f>(2.905+2.159+2.712)/3</f>
        <v>2.5920000000000001</v>
      </c>
      <c r="L341" s="8">
        <v>2</v>
      </c>
      <c r="M341" s="8" t="s">
        <v>454</v>
      </c>
      <c r="N341" s="14">
        <v>0</v>
      </c>
    </row>
    <row r="342" spans="1:15" x14ac:dyDescent="0.25">
      <c r="A342" t="s">
        <v>331</v>
      </c>
      <c r="B342" t="s">
        <v>746</v>
      </c>
      <c r="C342" t="s">
        <v>750</v>
      </c>
      <c r="D342" t="s">
        <v>749</v>
      </c>
      <c r="E342">
        <v>42</v>
      </c>
      <c r="F342" t="s">
        <v>374</v>
      </c>
      <c r="G342">
        <v>3</v>
      </c>
      <c r="H342">
        <v>3</v>
      </c>
      <c r="I342">
        <f>96.548+11.87</f>
        <v>108.41800000000001</v>
      </c>
      <c r="J342">
        <v>38.966000000000001</v>
      </c>
      <c r="K342">
        <f>(2.419+3.929)/2</f>
        <v>3.1739999999999999</v>
      </c>
      <c r="L342" s="8">
        <v>1</v>
      </c>
      <c r="M342" s="8" t="s">
        <v>451</v>
      </c>
      <c r="N342" s="14">
        <v>21.481999999999999</v>
      </c>
    </row>
    <row r="343" spans="1:15" x14ac:dyDescent="0.25">
      <c r="A343" t="s">
        <v>331</v>
      </c>
      <c r="B343" t="s">
        <v>746</v>
      </c>
      <c r="C343" t="s">
        <v>750</v>
      </c>
      <c r="D343" t="s">
        <v>749</v>
      </c>
      <c r="E343">
        <v>43</v>
      </c>
      <c r="F343" t="s">
        <v>375</v>
      </c>
      <c r="G343">
        <v>3</v>
      </c>
      <c r="H343">
        <v>3</v>
      </c>
      <c r="I343">
        <v>78.247</v>
      </c>
      <c r="J343">
        <v>48.112000000000002</v>
      </c>
      <c r="K343">
        <f>(3.415+4.129)/2</f>
        <v>3.7719999999999998</v>
      </c>
      <c r="L343" s="8">
        <v>1</v>
      </c>
      <c r="M343" s="8" t="s">
        <v>451</v>
      </c>
      <c r="N343" s="14">
        <v>19.850999999999999</v>
      </c>
    </row>
    <row r="344" spans="1:15" x14ac:dyDescent="0.25">
      <c r="A344" t="s">
        <v>331</v>
      </c>
      <c r="B344" t="s">
        <v>746</v>
      </c>
      <c r="C344" t="s">
        <v>750</v>
      </c>
      <c r="D344" t="s">
        <v>749</v>
      </c>
      <c r="E344">
        <v>44</v>
      </c>
      <c r="F344" t="s">
        <v>376</v>
      </c>
      <c r="G344">
        <v>3</v>
      </c>
      <c r="H344">
        <v>3</v>
      </c>
      <c r="I344">
        <v>73.078999999999994</v>
      </c>
      <c r="J344">
        <v>44.814999999999998</v>
      </c>
      <c r="K344">
        <f>(2.876+3.494)/2</f>
        <v>3.1850000000000001</v>
      </c>
      <c r="L344" s="8">
        <v>0</v>
      </c>
      <c r="M344" s="8" t="s">
        <v>451</v>
      </c>
      <c r="N344" s="14" t="s">
        <v>452</v>
      </c>
    </row>
    <row r="345" spans="1:15" x14ac:dyDescent="0.25">
      <c r="A345" t="s">
        <v>331</v>
      </c>
      <c r="B345" t="s">
        <v>746</v>
      </c>
      <c r="C345" t="s">
        <v>750</v>
      </c>
      <c r="D345" t="s">
        <v>749</v>
      </c>
      <c r="E345">
        <v>45</v>
      </c>
      <c r="F345" t="s">
        <v>377</v>
      </c>
      <c r="G345">
        <v>2</v>
      </c>
      <c r="H345">
        <v>2</v>
      </c>
      <c r="I345">
        <f>56.271+9.072</f>
        <v>65.343000000000004</v>
      </c>
      <c r="J345">
        <v>59.826999999999998</v>
      </c>
      <c r="K345">
        <f>(4.438+4.689)/2</f>
        <v>4.5634999999999994</v>
      </c>
      <c r="L345" s="8">
        <v>1</v>
      </c>
      <c r="M345" s="8" t="s">
        <v>451</v>
      </c>
      <c r="N345" s="14">
        <v>15.583</v>
      </c>
      <c r="O345" s="1" t="s">
        <v>158</v>
      </c>
    </row>
    <row r="346" spans="1:15" x14ac:dyDescent="0.25">
      <c r="A346" t="s">
        <v>331</v>
      </c>
      <c r="B346" t="s">
        <v>746</v>
      </c>
      <c r="C346" t="s">
        <v>750</v>
      </c>
      <c r="D346" t="s">
        <v>749</v>
      </c>
      <c r="E346">
        <v>46</v>
      </c>
      <c r="F346" t="s">
        <v>378</v>
      </c>
      <c r="G346">
        <v>1</v>
      </c>
      <c r="H346">
        <v>1</v>
      </c>
      <c r="I346">
        <v>27.613</v>
      </c>
      <c r="J346">
        <v>77.685000000000002</v>
      </c>
      <c r="K346">
        <v>11.180999999999999</v>
      </c>
      <c r="L346" s="8">
        <v>2</v>
      </c>
      <c r="M346" s="8" t="s">
        <v>454</v>
      </c>
      <c r="N346" s="14">
        <v>0</v>
      </c>
    </row>
    <row r="347" spans="1:15" x14ac:dyDescent="0.25">
      <c r="A347" t="s">
        <v>331</v>
      </c>
      <c r="B347" t="s">
        <v>746</v>
      </c>
      <c r="C347" t="s">
        <v>750</v>
      </c>
      <c r="D347" t="s">
        <v>749</v>
      </c>
      <c r="E347">
        <v>47</v>
      </c>
      <c r="F347" t="s">
        <v>379</v>
      </c>
      <c r="G347">
        <v>1</v>
      </c>
      <c r="H347">
        <v>1</v>
      </c>
      <c r="I347">
        <f>28.734+21.139</f>
        <v>49.873000000000005</v>
      </c>
      <c r="J347">
        <v>58.652000000000001</v>
      </c>
      <c r="K347">
        <v>13.903</v>
      </c>
      <c r="L347" s="8">
        <v>2</v>
      </c>
      <c r="M347" s="8" t="s">
        <v>451</v>
      </c>
      <c r="N347" s="14">
        <v>7.91</v>
      </c>
    </row>
    <row r="348" spans="1:15" x14ac:dyDescent="0.25">
      <c r="A348" t="s">
        <v>331</v>
      </c>
      <c r="B348" t="s">
        <v>746</v>
      </c>
      <c r="C348" t="s">
        <v>750</v>
      </c>
      <c r="D348" t="s">
        <v>749</v>
      </c>
      <c r="E348">
        <v>48</v>
      </c>
      <c r="F348" t="s">
        <v>380</v>
      </c>
      <c r="G348">
        <v>1</v>
      </c>
      <c r="H348">
        <v>1</v>
      </c>
      <c r="I348">
        <v>37.021000000000001</v>
      </c>
      <c r="J348">
        <v>65.119</v>
      </c>
      <c r="K348">
        <v>11.004</v>
      </c>
      <c r="L348" s="8">
        <v>2</v>
      </c>
      <c r="M348" s="8" t="s">
        <v>451</v>
      </c>
      <c r="N348" s="14" t="s">
        <v>452</v>
      </c>
    </row>
    <row r="349" spans="1:15" x14ac:dyDescent="0.25">
      <c r="A349" t="s">
        <v>331</v>
      </c>
      <c r="B349" t="s">
        <v>746</v>
      </c>
      <c r="C349" t="s">
        <v>750</v>
      </c>
      <c r="D349" t="s">
        <v>749</v>
      </c>
      <c r="E349">
        <v>49</v>
      </c>
      <c r="F349" t="s">
        <v>381</v>
      </c>
      <c r="G349">
        <v>1</v>
      </c>
      <c r="H349">
        <v>1</v>
      </c>
      <c r="I349">
        <v>43.514000000000003</v>
      </c>
      <c r="J349">
        <v>65.010999999999996</v>
      </c>
      <c r="K349">
        <v>11.678000000000001</v>
      </c>
      <c r="L349" s="8">
        <v>2</v>
      </c>
      <c r="M349" s="8" t="s">
        <v>451</v>
      </c>
      <c r="N349" s="14" t="s">
        <v>452</v>
      </c>
    </row>
    <row r="350" spans="1:15" x14ac:dyDescent="0.25">
      <c r="A350" t="s">
        <v>331</v>
      </c>
      <c r="B350" t="s">
        <v>746</v>
      </c>
      <c r="C350" t="s">
        <v>750</v>
      </c>
      <c r="D350" t="s">
        <v>749</v>
      </c>
      <c r="E350">
        <v>50.1</v>
      </c>
      <c r="F350" t="s">
        <v>382</v>
      </c>
      <c r="G350">
        <v>1</v>
      </c>
      <c r="H350">
        <v>1</v>
      </c>
      <c r="I350">
        <v>22.431000000000001</v>
      </c>
      <c r="J350">
        <v>72.906000000000006</v>
      </c>
      <c r="K350">
        <v>8.9269999999999996</v>
      </c>
      <c r="L350" s="8">
        <v>2</v>
      </c>
      <c r="M350" s="8" t="s">
        <v>451</v>
      </c>
      <c r="N350" s="14" t="s">
        <v>452</v>
      </c>
    </row>
    <row r="351" spans="1:15" x14ac:dyDescent="0.25">
      <c r="A351" t="s">
        <v>331</v>
      </c>
      <c r="B351" t="s">
        <v>746</v>
      </c>
      <c r="C351" t="s">
        <v>750</v>
      </c>
      <c r="D351" t="s">
        <v>749</v>
      </c>
      <c r="E351">
        <v>50.2</v>
      </c>
      <c r="G351">
        <v>1</v>
      </c>
      <c r="H351">
        <v>1</v>
      </c>
      <c r="I351">
        <v>26.713000000000001</v>
      </c>
      <c r="J351">
        <v>72.153999999999996</v>
      </c>
      <c r="K351">
        <v>9.6980000000000004</v>
      </c>
      <c r="L351" s="8">
        <v>2</v>
      </c>
      <c r="M351" s="8" t="s">
        <v>451</v>
      </c>
      <c r="N351" s="14" t="s">
        <v>452</v>
      </c>
    </row>
    <row r="352" spans="1:15" x14ac:dyDescent="0.25">
      <c r="A352" t="s">
        <v>331</v>
      </c>
      <c r="B352" t="s">
        <v>746</v>
      </c>
      <c r="C352" t="s">
        <v>750</v>
      </c>
      <c r="D352" t="s">
        <v>749</v>
      </c>
      <c r="E352">
        <v>51</v>
      </c>
      <c r="F352" t="s">
        <v>383</v>
      </c>
      <c r="G352">
        <v>1</v>
      </c>
      <c r="H352">
        <v>1</v>
      </c>
      <c r="I352">
        <v>18.838000000000001</v>
      </c>
      <c r="J352">
        <v>67.903999999999996</v>
      </c>
      <c r="K352">
        <f>(8.21+7.649)/2</f>
        <v>7.9295000000000009</v>
      </c>
      <c r="L352" s="8">
        <v>0</v>
      </c>
      <c r="M352" s="8" t="s">
        <v>451</v>
      </c>
      <c r="N352" s="14" t="s">
        <v>452</v>
      </c>
    </row>
    <row r="353" spans="1:14" x14ac:dyDescent="0.25">
      <c r="A353" t="s">
        <v>331</v>
      </c>
      <c r="B353" t="s">
        <v>746</v>
      </c>
      <c r="C353" t="s">
        <v>750</v>
      </c>
      <c r="D353" t="s">
        <v>749</v>
      </c>
      <c r="E353">
        <v>52</v>
      </c>
      <c r="F353" t="s">
        <v>384</v>
      </c>
      <c r="G353">
        <v>2</v>
      </c>
      <c r="H353">
        <v>2</v>
      </c>
      <c r="I353">
        <v>51.173999999999999</v>
      </c>
      <c r="J353">
        <v>57.286000000000001</v>
      </c>
      <c r="K353">
        <f>(9.311+10.517)/2</f>
        <v>9.9139999999999997</v>
      </c>
      <c r="L353" s="8">
        <v>0</v>
      </c>
      <c r="M353" s="8" t="s">
        <v>451</v>
      </c>
      <c r="N353" s="14" t="s">
        <v>452</v>
      </c>
    </row>
    <row r="354" spans="1:14" x14ac:dyDescent="0.25">
      <c r="A354" t="s">
        <v>331</v>
      </c>
      <c r="B354" t="s">
        <v>746</v>
      </c>
      <c r="C354" t="s">
        <v>750</v>
      </c>
      <c r="D354" t="s">
        <v>749</v>
      </c>
      <c r="E354">
        <v>53</v>
      </c>
      <c r="F354" t="s">
        <v>385</v>
      </c>
      <c r="G354">
        <v>2</v>
      </c>
      <c r="H354">
        <v>2</v>
      </c>
      <c r="I354">
        <v>40.201999999999998</v>
      </c>
      <c r="J354">
        <v>81.070999999999998</v>
      </c>
      <c r="K354">
        <f>(6.188+5.428)/2</f>
        <v>5.8079999999999998</v>
      </c>
      <c r="L354" s="8">
        <v>0</v>
      </c>
      <c r="M354" s="8" t="s">
        <v>451</v>
      </c>
      <c r="N354" s="14" t="s">
        <v>452</v>
      </c>
    </row>
    <row r="355" spans="1:14" x14ac:dyDescent="0.25">
      <c r="A355" t="s">
        <v>331</v>
      </c>
      <c r="B355" t="s">
        <v>746</v>
      </c>
      <c r="C355" t="s">
        <v>750</v>
      </c>
      <c r="D355" t="s">
        <v>749</v>
      </c>
      <c r="E355">
        <v>54</v>
      </c>
      <c r="F355" t="s">
        <v>386</v>
      </c>
      <c r="G355">
        <v>2</v>
      </c>
      <c r="H355">
        <v>2</v>
      </c>
      <c r="I355">
        <v>19.856000000000002</v>
      </c>
      <c r="J355">
        <v>51.088999999999999</v>
      </c>
      <c r="K355">
        <f>(11.321+8.131)/2</f>
        <v>9.7259999999999991</v>
      </c>
      <c r="L355" s="8">
        <v>0</v>
      </c>
      <c r="M355" s="8" t="s">
        <v>451</v>
      </c>
      <c r="N355" s="14" t="s">
        <v>452</v>
      </c>
    </row>
    <row r="356" spans="1:14" x14ac:dyDescent="0.25">
      <c r="A356" t="s">
        <v>331</v>
      </c>
      <c r="B356" t="s">
        <v>746</v>
      </c>
      <c r="C356" t="s">
        <v>750</v>
      </c>
      <c r="D356" t="s">
        <v>749</v>
      </c>
      <c r="E356">
        <v>55</v>
      </c>
      <c r="F356" t="s">
        <v>387</v>
      </c>
      <c r="G356">
        <v>2</v>
      </c>
      <c r="H356">
        <v>2</v>
      </c>
      <c r="I356">
        <v>30.376999999999999</v>
      </c>
      <c r="J356">
        <v>44.066000000000003</v>
      </c>
      <c r="K356">
        <f>(12.58+11.088)/2</f>
        <v>11.834</v>
      </c>
      <c r="L356" s="8">
        <v>0</v>
      </c>
      <c r="M356" s="8" t="s">
        <v>451</v>
      </c>
      <c r="N356" s="14" t="s">
        <v>452</v>
      </c>
    </row>
    <row r="357" spans="1:14" x14ac:dyDescent="0.25">
      <c r="A357" t="s">
        <v>331</v>
      </c>
      <c r="B357" t="s">
        <v>746</v>
      </c>
      <c r="C357" t="s">
        <v>750</v>
      </c>
      <c r="D357" t="s">
        <v>749</v>
      </c>
      <c r="E357">
        <v>56</v>
      </c>
      <c r="F357" t="s">
        <v>388</v>
      </c>
      <c r="G357">
        <v>2</v>
      </c>
      <c r="H357">
        <v>2</v>
      </c>
      <c r="I357">
        <v>30.792000000000002</v>
      </c>
      <c r="J357">
        <v>83.046000000000006</v>
      </c>
      <c r="K357">
        <f>(5.374+5.379)/2</f>
        <v>5.3765000000000001</v>
      </c>
      <c r="L357" s="8">
        <v>0</v>
      </c>
      <c r="M357" s="8" t="s">
        <v>451</v>
      </c>
      <c r="N357" s="14" t="s">
        <v>452</v>
      </c>
    </row>
    <row r="358" spans="1:14" x14ac:dyDescent="0.25">
      <c r="A358" t="s">
        <v>331</v>
      </c>
      <c r="B358" t="s">
        <v>746</v>
      </c>
      <c r="C358" t="s">
        <v>750</v>
      </c>
      <c r="D358" t="s">
        <v>749</v>
      </c>
      <c r="E358">
        <v>57</v>
      </c>
      <c r="F358" t="s">
        <v>389</v>
      </c>
      <c r="G358">
        <v>3</v>
      </c>
      <c r="H358">
        <v>4</v>
      </c>
      <c r="I358">
        <f>121.781+25.968</f>
        <v>147.749</v>
      </c>
      <c r="J358">
        <v>24.602</v>
      </c>
      <c r="K358">
        <f>(2.866+2.928+1.53)/3</f>
        <v>2.4413333333333336</v>
      </c>
      <c r="L358" s="8">
        <v>1</v>
      </c>
      <c r="M358" s="8" t="s">
        <v>454</v>
      </c>
      <c r="N358" s="14">
        <v>0</v>
      </c>
    </row>
    <row r="359" spans="1:14" x14ac:dyDescent="0.25">
      <c r="A359" t="s">
        <v>331</v>
      </c>
      <c r="B359" t="s">
        <v>746</v>
      </c>
      <c r="C359" t="s">
        <v>750</v>
      </c>
      <c r="D359" t="s">
        <v>749</v>
      </c>
      <c r="E359">
        <v>58</v>
      </c>
      <c r="F359" t="s">
        <v>390</v>
      </c>
      <c r="G359">
        <v>3</v>
      </c>
      <c r="H359">
        <v>4</v>
      </c>
      <c r="I359">
        <v>117.688</v>
      </c>
      <c r="J359">
        <v>23.751999999999999</v>
      </c>
      <c r="K359">
        <f>(3.192+2.049)/2</f>
        <v>2.6204999999999998</v>
      </c>
      <c r="L359" s="8">
        <v>1</v>
      </c>
      <c r="M359" s="8" t="s">
        <v>451</v>
      </c>
      <c r="N359" s="14">
        <v>74.915000000000006</v>
      </c>
    </row>
    <row r="360" spans="1:14" x14ac:dyDescent="0.25">
      <c r="A360" t="s">
        <v>331</v>
      </c>
      <c r="B360" t="s">
        <v>746</v>
      </c>
      <c r="C360" t="s">
        <v>750</v>
      </c>
      <c r="D360" t="s">
        <v>749</v>
      </c>
      <c r="E360">
        <v>59</v>
      </c>
      <c r="F360" t="s">
        <v>391</v>
      </c>
      <c r="G360">
        <v>3</v>
      </c>
      <c r="H360">
        <v>4</v>
      </c>
      <c r="I360">
        <v>78.965000000000003</v>
      </c>
      <c r="J360">
        <v>22.030999999999999</v>
      </c>
      <c r="K360">
        <f>(3.638+2.513)/2</f>
        <v>3.0754999999999999</v>
      </c>
      <c r="L360" s="8">
        <v>0</v>
      </c>
      <c r="M360" s="8" t="s">
        <v>451</v>
      </c>
      <c r="N360" s="14" t="s">
        <v>452</v>
      </c>
    </row>
    <row r="361" spans="1:14" x14ac:dyDescent="0.25">
      <c r="A361" t="s">
        <v>331</v>
      </c>
      <c r="B361" t="s">
        <v>746</v>
      </c>
      <c r="C361" t="s">
        <v>750</v>
      </c>
      <c r="D361" t="s">
        <v>749</v>
      </c>
      <c r="E361">
        <v>60</v>
      </c>
      <c r="F361" t="s">
        <v>392</v>
      </c>
      <c r="G361">
        <v>3</v>
      </c>
      <c r="H361">
        <v>4</v>
      </c>
      <c r="I361">
        <f>45.228+57.085</f>
        <v>102.313</v>
      </c>
      <c r="J361">
        <v>22.562999999999999</v>
      </c>
      <c r="K361">
        <f>(3.947+4.329)/2</f>
        <v>4.1379999999999999</v>
      </c>
      <c r="L361" s="8">
        <v>1</v>
      </c>
      <c r="M361" s="8" t="s">
        <v>451</v>
      </c>
      <c r="N361" s="14">
        <v>20.71</v>
      </c>
    </row>
    <row r="362" spans="1:14" x14ac:dyDescent="0.25">
      <c r="A362" t="s">
        <v>331</v>
      </c>
      <c r="B362" t="s">
        <v>746</v>
      </c>
      <c r="C362" t="s">
        <v>750</v>
      </c>
      <c r="D362" t="s">
        <v>749</v>
      </c>
      <c r="E362">
        <v>61</v>
      </c>
      <c r="F362" t="s">
        <v>393</v>
      </c>
      <c r="G362">
        <v>3</v>
      </c>
      <c r="H362">
        <v>3</v>
      </c>
      <c r="I362">
        <v>55.819000000000003</v>
      </c>
      <c r="J362">
        <v>44.649000000000001</v>
      </c>
      <c r="K362">
        <v>2.996</v>
      </c>
      <c r="L362" s="8">
        <v>0</v>
      </c>
      <c r="M362" s="8" t="s">
        <v>451</v>
      </c>
      <c r="N362" s="14" t="s">
        <v>452</v>
      </c>
    </row>
    <row r="363" spans="1:14" x14ac:dyDescent="0.25">
      <c r="A363" t="s">
        <v>331</v>
      </c>
      <c r="B363" t="s">
        <v>746</v>
      </c>
      <c r="C363" t="s">
        <v>750</v>
      </c>
      <c r="D363" t="s">
        <v>749</v>
      </c>
      <c r="E363">
        <v>62</v>
      </c>
      <c r="F363" t="s">
        <v>394</v>
      </c>
      <c r="G363">
        <v>3</v>
      </c>
      <c r="H363">
        <v>3</v>
      </c>
      <c r="I363">
        <f>53.029+13.439</f>
        <v>66.468000000000004</v>
      </c>
      <c r="J363">
        <v>54.835000000000001</v>
      </c>
      <c r="K363">
        <f>(3.729+4.775)/2</f>
        <v>4.2520000000000007</v>
      </c>
      <c r="L363" s="8">
        <v>2</v>
      </c>
      <c r="M363" s="8" t="s">
        <v>454</v>
      </c>
      <c r="N363" s="14">
        <v>0</v>
      </c>
    </row>
    <row r="364" spans="1:14" x14ac:dyDescent="0.25">
      <c r="A364" t="s">
        <v>331</v>
      </c>
      <c r="B364" t="s">
        <v>746</v>
      </c>
      <c r="C364" t="s">
        <v>750</v>
      </c>
      <c r="D364" t="s">
        <v>749</v>
      </c>
      <c r="E364">
        <v>63</v>
      </c>
      <c r="F364" t="s">
        <v>395</v>
      </c>
      <c r="G364">
        <v>3</v>
      </c>
      <c r="H364">
        <v>3</v>
      </c>
      <c r="I364">
        <f>69.409+41.488</f>
        <v>110.89700000000001</v>
      </c>
      <c r="J364">
        <v>33.375</v>
      </c>
      <c r="K364">
        <f>(2.143+4.097+2.092)/3</f>
        <v>2.7773333333333334</v>
      </c>
      <c r="L364" s="8">
        <v>2</v>
      </c>
      <c r="M364" s="8" t="s">
        <v>454</v>
      </c>
      <c r="N364" s="14">
        <v>0</v>
      </c>
    </row>
    <row r="365" spans="1:14" x14ac:dyDescent="0.25">
      <c r="A365" t="s">
        <v>331</v>
      </c>
      <c r="B365" t="s">
        <v>746</v>
      </c>
      <c r="C365" t="s">
        <v>750</v>
      </c>
      <c r="D365" t="s">
        <v>749</v>
      </c>
      <c r="E365">
        <v>64</v>
      </c>
      <c r="F365" t="s">
        <v>396</v>
      </c>
      <c r="G365">
        <v>3</v>
      </c>
      <c r="H365">
        <v>3</v>
      </c>
      <c r="I365">
        <v>45.625999999999998</v>
      </c>
      <c r="J365">
        <v>42.423999999999999</v>
      </c>
      <c r="K365">
        <f>(4.005+2.796)/2</f>
        <v>3.4005000000000001</v>
      </c>
      <c r="L365" s="8">
        <v>0</v>
      </c>
      <c r="M365" s="8" t="s">
        <v>451</v>
      </c>
      <c r="N365" s="14" t="s">
        <v>452</v>
      </c>
    </row>
    <row r="366" spans="1:14" x14ac:dyDescent="0.25">
      <c r="A366" t="s">
        <v>331</v>
      </c>
      <c r="B366" t="s">
        <v>746</v>
      </c>
      <c r="C366" t="s">
        <v>750</v>
      </c>
      <c r="D366" t="s">
        <v>749</v>
      </c>
      <c r="E366">
        <v>65</v>
      </c>
      <c r="F366" t="s">
        <v>397</v>
      </c>
      <c r="G366">
        <v>3</v>
      </c>
      <c r="H366">
        <v>3</v>
      </c>
      <c r="I366">
        <f>62.581+17.298</f>
        <v>79.879000000000005</v>
      </c>
      <c r="J366">
        <v>37.255000000000003</v>
      </c>
      <c r="K366">
        <f>(3.239+3.75)/2</f>
        <v>3.4944999999999999</v>
      </c>
      <c r="L366" s="8">
        <v>1</v>
      </c>
      <c r="M366" s="8" t="s">
        <v>451</v>
      </c>
      <c r="N366" s="14">
        <v>15.068</v>
      </c>
    </row>
    <row r="367" spans="1:14" x14ac:dyDescent="0.25">
      <c r="A367" t="s">
        <v>331</v>
      </c>
      <c r="B367" t="s">
        <v>746</v>
      </c>
      <c r="C367" t="s">
        <v>750</v>
      </c>
      <c r="D367" t="s">
        <v>749</v>
      </c>
      <c r="E367">
        <v>66</v>
      </c>
      <c r="F367" t="s">
        <v>398</v>
      </c>
      <c r="G367">
        <v>3</v>
      </c>
      <c r="H367">
        <v>4</v>
      </c>
      <c r="I367">
        <v>75.994</v>
      </c>
      <c r="J367">
        <v>29.231999999999999</v>
      </c>
      <c r="K367">
        <f>(2.986+1.906)/2</f>
        <v>2.4460000000000002</v>
      </c>
      <c r="L367" s="8">
        <v>0</v>
      </c>
      <c r="M367" s="8" t="s">
        <v>451</v>
      </c>
      <c r="N367" s="14" t="s">
        <v>452</v>
      </c>
    </row>
    <row r="368" spans="1:14" x14ac:dyDescent="0.25">
      <c r="A368" t="s">
        <v>331</v>
      </c>
      <c r="B368" t="s">
        <v>746</v>
      </c>
      <c r="C368" t="s">
        <v>750</v>
      </c>
      <c r="D368" t="s">
        <v>749</v>
      </c>
      <c r="E368">
        <v>67</v>
      </c>
      <c r="F368" t="s">
        <v>399</v>
      </c>
      <c r="G368">
        <v>3</v>
      </c>
      <c r="H368">
        <v>3</v>
      </c>
      <c r="I368">
        <f>78.673+38.613</f>
        <v>117.286</v>
      </c>
      <c r="J368">
        <v>37.935000000000002</v>
      </c>
      <c r="K368">
        <f>(5.829+3.267)/2</f>
        <v>4.548</v>
      </c>
      <c r="L368" s="8">
        <v>1</v>
      </c>
      <c r="M368" s="8" t="s">
        <v>454</v>
      </c>
      <c r="N368" s="14">
        <v>0</v>
      </c>
    </row>
    <row r="369" spans="1:16" x14ac:dyDescent="0.25">
      <c r="A369" t="s">
        <v>331</v>
      </c>
      <c r="B369" t="s">
        <v>746</v>
      </c>
      <c r="C369" t="s">
        <v>750</v>
      </c>
      <c r="D369" t="s">
        <v>749</v>
      </c>
      <c r="E369">
        <v>68</v>
      </c>
      <c r="F369" t="s">
        <v>400</v>
      </c>
      <c r="G369">
        <v>3</v>
      </c>
      <c r="H369">
        <v>3</v>
      </c>
      <c r="I369">
        <f>44.118+62.372</f>
        <v>106.49000000000001</v>
      </c>
      <c r="J369">
        <v>42.313000000000002</v>
      </c>
      <c r="K369">
        <f>(2.576+4.561+2.958)/2</f>
        <v>5.0475000000000003</v>
      </c>
      <c r="L369" s="8">
        <v>2</v>
      </c>
      <c r="M369" s="8" t="s">
        <v>454</v>
      </c>
      <c r="N369" s="14">
        <v>0</v>
      </c>
    </row>
    <row r="370" spans="1:16" x14ac:dyDescent="0.25">
      <c r="A370" t="s">
        <v>331</v>
      </c>
      <c r="B370" t="s">
        <v>746</v>
      </c>
      <c r="C370" t="s">
        <v>750</v>
      </c>
      <c r="D370" t="s">
        <v>749</v>
      </c>
      <c r="E370">
        <v>69</v>
      </c>
      <c r="F370" t="s">
        <v>401</v>
      </c>
      <c r="G370">
        <v>3</v>
      </c>
      <c r="H370">
        <v>3</v>
      </c>
      <c r="I370">
        <f>46.282+40.048</f>
        <v>86.33</v>
      </c>
      <c r="J370">
        <v>53.228000000000002</v>
      </c>
      <c r="K370">
        <f>(3.822+3.115)/2</f>
        <v>3.4685000000000001</v>
      </c>
      <c r="L370" s="8">
        <v>1</v>
      </c>
      <c r="M370" s="8" t="s">
        <v>451</v>
      </c>
      <c r="N370" s="14">
        <v>1.7050000000000001</v>
      </c>
    </row>
    <row r="371" spans="1:16" x14ac:dyDescent="0.25">
      <c r="A371" t="s">
        <v>331</v>
      </c>
      <c r="B371" t="s">
        <v>746</v>
      </c>
      <c r="C371" t="s">
        <v>750</v>
      </c>
      <c r="D371" t="s">
        <v>749</v>
      </c>
      <c r="E371">
        <v>70</v>
      </c>
      <c r="F371" t="s">
        <v>402</v>
      </c>
      <c r="G371">
        <v>3</v>
      </c>
      <c r="H371">
        <v>3</v>
      </c>
      <c r="I371">
        <f>38.828+23.632</f>
        <v>62.460000000000008</v>
      </c>
      <c r="J371">
        <v>49.088999999999999</v>
      </c>
      <c r="K371">
        <f>(5.505+5.531)/2</f>
        <v>5.5179999999999998</v>
      </c>
      <c r="L371" s="8">
        <v>1</v>
      </c>
      <c r="M371" s="8" t="s">
        <v>451</v>
      </c>
      <c r="N371" s="14">
        <v>15.459</v>
      </c>
    </row>
    <row r="372" spans="1:16" x14ac:dyDescent="0.25">
      <c r="A372" t="s">
        <v>331</v>
      </c>
      <c r="B372" t="s">
        <v>746</v>
      </c>
      <c r="C372" t="s">
        <v>750</v>
      </c>
      <c r="D372" t="s">
        <v>749</v>
      </c>
      <c r="E372">
        <v>71</v>
      </c>
      <c r="F372" t="s">
        <v>403</v>
      </c>
      <c r="G372">
        <v>3</v>
      </c>
      <c r="H372">
        <v>4</v>
      </c>
      <c r="I372">
        <f>41.309+19.747</f>
        <v>61.055999999999997</v>
      </c>
      <c r="J372">
        <v>22.405000000000001</v>
      </c>
      <c r="K372">
        <f>(4.186+3.014)/2</f>
        <v>3.5999999999999996</v>
      </c>
      <c r="L372" s="8">
        <v>0</v>
      </c>
      <c r="M372" s="8" t="s">
        <v>451</v>
      </c>
      <c r="N372" s="14" t="s">
        <v>452</v>
      </c>
    </row>
    <row r="373" spans="1:16" x14ac:dyDescent="0.25">
      <c r="A373" t="s">
        <v>331</v>
      </c>
      <c r="B373" t="s">
        <v>746</v>
      </c>
      <c r="C373" t="s">
        <v>750</v>
      </c>
      <c r="D373" t="s">
        <v>749</v>
      </c>
      <c r="E373">
        <v>72</v>
      </c>
      <c r="F373" t="s">
        <v>404</v>
      </c>
      <c r="G373">
        <v>3</v>
      </c>
      <c r="H373">
        <v>3</v>
      </c>
      <c r="I373">
        <v>68.498000000000005</v>
      </c>
      <c r="J373">
        <v>35.56</v>
      </c>
      <c r="K373">
        <f>(2.83+2.135)/2</f>
        <v>2.4824999999999999</v>
      </c>
      <c r="L373" s="8">
        <v>0</v>
      </c>
      <c r="M373" s="8" t="s">
        <v>451</v>
      </c>
      <c r="N373" s="14" t="s">
        <v>452</v>
      </c>
    </row>
    <row r="374" spans="1:16" x14ac:dyDescent="0.25">
      <c r="A374" t="s">
        <v>331</v>
      </c>
      <c r="B374" t="s">
        <v>746</v>
      </c>
      <c r="C374" t="s">
        <v>750</v>
      </c>
      <c r="D374" t="s">
        <v>749</v>
      </c>
      <c r="E374">
        <v>73</v>
      </c>
      <c r="F374" t="s">
        <v>405</v>
      </c>
      <c r="G374">
        <v>3</v>
      </c>
      <c r="H374">
        <v>3</v>
      </c>
      <c r="I374">
        <f>41.867+20.607+15.042</f>
        <v>77.515999999999991</v>
      </c>
      <c r="J374">
        <v>46.597999999999999</v>
      </c>
      <c r="K374">
        <f>(3.01+3.269+1.991+1.943)/4</f>
        <v>2.5532499999999998</v>
      </c>
      <c r="L374" s="8">
        <v>2</v>
      </c>
      <c r="M374" s="8" t="s">
        <v>454</v>
      </c>
      <c r="N374" s="14">
        <v>0</v>
      </c>
    </row>
    <row r="375" spans="1:16" x14ac:dyDescent="0.25">
      <c r="A375" t="s">
        <v>331</v>
      </c>
      <c r="B375" t="s">
        <v>746</v>
      </c>
      <c r="C375" t="s">
        <v>750</v>
      </c>
      <c r="D375" t="s">
        <v>749</v>
      </c>
      <c r="E375">
        <v>74</v>
      </c>
      <c r="F375" t="s">
        <v>406</v>
      </c>
      <c r="G375">
        <v>2</v>
      </c>
      <c r="H375">
        <v>2</v>
      </c>
      <c r="I375">
        <f>20.042+64.744</f>
        <v>84.786000000000001</v>
      </c>
      <c r="J375">
        <v>45.264000000000003</v>
      </c>
      <c r="K375">
        <f>(6.837+8.805+2.719)/3</f>
        <v>6.1203333333333338</v>
      </c>
      <c r="L375" s="8">
        <v>2</v>
      </c>
      <c r="M375" s="8" t="s">
        <v>454</v>
      </c>
      <c r="N375" s="14">
        <v>0</v>
      </c>
      <c r="O375" s="1" t="s">
        <v>158</v>
      </c>
    </row>
    <row r="376" spans="1:16" x14ac:dyDescent="0.25">
      <c r="A376" t="s">
        <v>331</v>
      </c>
      <c r="B376" t="s">
        <v>746</v>
      </c>
      <c r="C376" t="s">
        <v>750</v>
      </c>
      <c r="D376" t="s">
        <v>749</v>
      </c>
      <c r="E376">
        <v>75</v>
      </c>
      <c r="F376" t="s">
        <v>407</v>
      </c>
      <c r="G376">
        <v>2</v>
      </c>
      <c r="H376">
        <v>2</v>
      </c>
      <c r="I376">
        <f>16.016+23.544</f>
        <v>39.56</v>
      </c>
      <c r="J376">
        <v>53.616</v>
      </c>
      <c r="K376">
        <f>(8.74+7.991)/2</f>
        <v>8.3655000000000008</v>
      </c>
      <c r="L376" s="8">
        <v>1</v>
      </c>
      <c r="M376" s="8" t="s">
        <v>454</v>
      </c>
      <c r="N376" s="14">
        <v>0</v>
      </c>
    </row>
    <row r="377" spans="1:16" x14ac:dyDescent="0.25">
      <c r="A377" t="s">
        <v>331</v>
      </c>
      <c r="B377" t="s">
        <v>746</v>
      </c>
      <c r="C377" t="s">
        <v>750</v>
      </c>
      <c r="D377" t="s">
        <v>749</v>
      </c>
      <c r="E377">
        <v>76</v>
      </c>
      <c r="F377" t="s">
        <v>408</v>
      </c>
      <c r="G377">
        <v>2</v>
      </c>
      <c r="H377">
        <v>2</v>
      </c>
      <c r="I377">
        <v>13.255000000000001</v>
      </c>
      <c r="J377">
        <v>52.595999999999997</v>
      </c>
      <c r="K377">
        <f>(7.941+7.054)/2</f>
        <v>7.4975000000000005</v>
      </c>
      <c r="L377" s="8">
        <v>0</v>
      </c>
      <c r="M377" s="8" t="s">
        <v>451</v>
      </c>
      <c r="N377" s="14" t="s">
        <v>452</v>
      </c>
    </row>
    <row r="378" spans="1:16" x14ac:dyDescent="0.25">
      <c r="A378" t="s">
        <v>331</v>
      </c>
      <c r="B378" t="s">
        <v>746</v>
      </c>
      <c r="C378" t="s">
        <v>750</v>
      </c>
      <c r="D378" t="s">
        <v>749</v>
      </c>
      <c r="E378">
        <v>77</v>
      </c>
      <c r="F378" t="s">
        <v>409</v>
      </c>
      <c r="G378">
        <v>2</v>
      </c>
      <c r="H378">
        <v>2</v>
      </c>
      <c r="I378">
        <v>21.265000000000001</v>
      </c>
      <c r="J378">
        <v>61.573999999999998</v>
      </c>
      <c r="K378">
        <f>(6.734+6.309)/2</f>
        <v>6.5214999999999996</v>
      </c>
      <c r="L378" s="8">
        <v>0</v>
      </c>
      <c r="M378" s="8" t="s">
        <v>451</v>
      </c>
      <c r="N378" s="14" t="s">
        <v>452</v>
      </c>
    </row>
    <row r="379" spans="1:16" x14ac:dyDescent="0.25">
      <c r="A379" t="s">
        <v>331</v>
      </c>
      <c r="B379" t="s">
        <v>746</v>
      </c>
      <c r="C379" t="s">
        <v>750</v>
      </c>
      <c r="D379" t="s">
        <v>749</v>
      </c>
      <c r="E379">
        <v>78</v>
      </c>
      <c r="F379" t="s">
        <v>410</v>
      </c>
      <c r="G379">
        <v>2</v>
      </c>
      <c r="H379">
        <v>2</v>
      </c>
      <c r="I379">
        <v>21.591000000000001</v>
      </c>
      <c r="J379">
        <v>58.384999999999998</v>
      </c>
      <c r="K379">
        <f>(5.243+6.007)/2</f>
        <v>5.625</v>
      </c>
      <c r="L379" s="8">
        <v>0</v>
      </c>
      <c r="M379" s="8" t="s">
        <v>451</v>
      </c>
      <c r="N379" s="14" t="s">
        <v>452</v>
      </c>
    </row>
    <row r="380" spans="1:16" x14ac:dyDescent="0.25">
      <c r="A380" t="s">
        <v>331</v>
      </c>
      <c r="B380" t="s">
        <v>746</v>
      </c>
      <c r="C380" t="s">
        <v>750</v>
      </c>
      <c r="D380" t="s">
        <v>749</v>
      </c>
      <c r="E380">
        <v>80.099999999999994</v>
      </c>
      <c r="F380" s="20" t="s">
        <v>757</v>
      </c>
      <c r="G380" s="20">
        <v>1</v>
      </c>
      <c r="H380">
        <v>1</v>
      </c>
      <c r="I380">
        <v>20.265000000000001</v>
      </c>
      <c r="J380">
        <v>68.259</v>
      </c>
      <c r="K380">
        <v>10.726000000000001</v>
      </c>
      <c r="L380" s="8">
        <v>2</v>
      </c>
      <c r="M380" s="8" t="s">
        <v>451</v>
      </c>
      <c r="N380" s="14" t="s">
        <v>452</v>
      </c>
    </row>
    <row r="381" spans="1:16" x14ac:dyDescent="0.25">
      <c r="A381" t="s">
        <v>331</v>
      </c>
      <c r="B381" t="s">
        <v>746</v>
      </c>
      <c r="C381" t="s">
        <v>750</v>
      </c>
      <c r="D381" t="s">
        <v>749</v>
      </c>
      <c r="E381">
        <v>80.2</v>
      </c>
      <c r="F381" s="20"/>
      <c r="G381" s="20">
        <v>1</v>
      </c>
      <c r="H381">
        <v>1</v>
      </c>
      <c r="I381">
        <v>18.956</v>
      </c>
      <c r="J381">
        <v>72.816000000000003</v>
      </c>
      <c r="K381">
        <v>9.6649999999999991</v>
      </c>
      <c r="L381" s="8">
        <v>2</v>
      </c>
      <c r="M381" s="8" t="s">
        <v>451</v>
      </c>
      <c r="N381" s="14" t="s">
        <v>452</v>
      </c>
    </row>
    <row r="382" spans="1:16" x14ac:dyDescent="0.25">
      <c r="A382" t="s">
        <v>331</v>
      </c>
      <c r="B382" t="s">
        <v>746</v>
      </c>
      <c r="C382" t="s">
        <v>750</v>
      </c>
      <c r="D382" t="s">
        <v>749</v>
      </c>
      <c r="E382">
        <v>80.3</v>
      </c>
      <c r="F382" s="20"/>
      <c r="G382" s="20">
        <v>1</v>
      </c>
      <c r="H382">
        <v>1</v>
      </c>
      <c r="I382">
        <v>24.454999999999998</v>
      </c>
      <c r="J382">
        <v>60.03</v>
      </c>
      <c r="K382">
        <v>10.749000000000001</v>
      </c>
      <c r="L382" s="8">
        <v>2</v>
      </c>
      <c r="M382" s="8" t="s">
        <v>451</v>
      </c>
      <c r="N382" s="14" t="s">
        <v>452</v>
      </c>
    </row>
    <row r="383" spans="1:16" x14ac:dyDescent="0.25">
      <c r="A383" t="s">
        <v>411</v>
      </c>
      <c r="B383" t="s">
        <v>745</v>
      </c>
      <c r="C383" t="s">
        <v>748</v>
      </c>
      <c r="D383" t="s">
        <v>751</v>
      </c>
      <c r="E383">
        <v>1</v>
      </c>
      <c r="F383" t="s">
        <v>412</v>
      </c>
      <c r="G383" s="20">
        <v>3</v>
      </c>
      <c r="H383">
        <v>3</v>
      </c>
      <c r="I383">
        <v>73.817999999999998</v>
      </c>
      <c r="J383">
        <v>40.746000000000002</v>
      </c>
      <c r="K383">
        <f>(1.671+2.008)/2</f>
        <v>1.8395000000000001</v>
      </c>
      <c r="L383" s="8">
        <v>0</v>
      </c>
      <c r="M383" s="8" t="s">
        <v>451</v>
      </c>
      <c r="N383" s="14" t="s">
        <v>452</v>
      </c>
      <c r="O383" s="1" t="s">
        <v>65</v>
      </c>
      <c r="P383" t="s">
        <v>194</v>
      </c>
    </row>
    <row r="384" spans="1:16" x14ac:dyDescent="0.25">
      <c r="A384" t="s">
        <v>411</v>
      </c>
      <c r="B384" t="s">
        <v>745</v>
      </c>
      <c r="C384" t="s">
        <v>748</v>
      </c>
      <c r="D384" t="s">
        <v>751</v>
      </c>
      <c r="E384">
        <v>2</v>
      </c>
      <c r="F384" t="s">
        <v>413</v>
      </c>
      <c r="G384" s="20">
        <v>2</v>
      </c>
      <c r="H384">
        <v>2</v>
      </c>
      <c r="I384">
        <f>29.97+43.104+24.72</f>
        <v>97.793999999999997</v>
      </c>
      <c r="J384">
        <v>65.188000000000002</v>
      </c>
      <c r="K384">
        <v>8.6359999999999992</v>
      </c>
      <c r="L384" s="8">
        <v>2</v>
      </c>
      <c r="M384" s="8" t="s">
        <v>454</v>
      </c>
      <c r="N384" s="14">
        <v>0</v>
      </c>
    </row>
    <row r="385" spans="1:15" x14ac:dyDescent="0.25">
      <c r="A385" t="s">
        <v>411</v>
      </c>
      <c r="B385" t="s">
        <v>745</v>
      </c>
      <c r="C385" t="s">
        <v>748</v>
      </c>
      <c r="D385" t="s">
        <v>751</v>
      </c>
      <c r="E385">
        <v>3</v>
      </c>
      <c r="F385" t="s">
        <v>414</v>
      </c>
      <c r="G385" s="20">
        <v>2</v>
      </c>
      <c r="H385">
        <v>2</v>
      </c>
      <c r="I385">
        <v>30.817</v>
      </c>
      <c r="J385">
        <v>81.769000000000005</v>
      </c>
      <c r="K385">
        <v>7.798</v>
      </c>
      <c r="L385" s="8">
        <v>0</v>
      </c>
      <c r="M385" s="8" t="s">
        <v>451</v>
      </c>
      <c r="N385" s="14" t="s">
        <v>452</v>
      </c>
    </row>
    <row r="386" spans="1:15" x14ac:dyDescent="0.25">
      <c r="A386" t="s">
        <v>411</v>
      </c>
      <c r="B386" t="s">
        <v>745</v>
      </c>
      <c r="C386" t="s">
        <v>748</v>
      </c>
      <c r="D386" t="s">
        <v>751</v>
      </c>
      <c r="E386">
        <v>4</v>
      </c>
      <c r="F386" t="s">
        <v>415</v>
      </c>
      <c r="G386" s="20">
        <v>2</v>
      </c>
      <c r="H386">
        <v>2</v>
      </c>
      <c r="I386">
        <f>33.049+28.687</f>
        <v>61.736000000000004</v>
      </c>
      <c r="J386">
        <v>73.119</v>
      </c>
      <c r="K386">
        <v>8.2680000000000007</v>
      </c>
      <c r="L386" s="8">
        <v>1</v>
      </c>
      <c r="M386" s="8" t="s">
        <v>451</v>
      </c>
      <c r="N386" s="14">
        <v>5.1760000000000002</v>
      </c>
    </row>
    <row r="387" spans="1:15" x14ac:dyDescent="0.25">
      <c r="A387" t="s">
        <v>411</v>
      </c>
      <c r="B387" t="s">
        <v>745</v>
      </c>
      <c r="C387" t="s">
        <v>748</v>
      </c>
      <c r="D387" t="s">
        <v>751</v>
      </c>
      <c r="E387">
        <v>5</v>
      </c>
      <c r="F387" t="s">
        <v>416</v>
      </c>
      <c r="G387" s="20">
        <v>2</v>
      </c>
      <c r="H387">
        <v>2</v>
      </c>
      <c r="I387">
        <f>18.129+9.852</f>
        <v>27.981000000000002</v>
      </c>
      <c r="J387">
        <v>64.683999999999997</v>
      </c>
      <c r="K387">
        <v>6.774</v>
      </c>
      <c r="L387" s="8">
        <v>1</v>
      </c>
      <c r="M387" s="8" t="s">
        <v>454</v>
      </c>
      <c r="N387" s="14">
        <v>0</v>
      </c>
    </row>
    <row r="388" spans="1:15" x14ac:dyDescent="0.25">
      <c r="A388" t="s">
        <v>411</v>
      </c>
      <c r="B388" t="s">
        <v>745</v>
      </c>
      <c r="C388" t="s">
        <v>748</v>
      </c>
      <c r="D388" t="s">
        <v>751</v>
      </c>
      <c r="E388">
        <v>6</v>
      </c>
      <c r="F388" t="s">
        <v>417</v>
      </c>
      <c r="G388" s="20">
        <v>2</v>
      </c>
      <c r="H388">
        <v>2</v>
      </c>
      <c r="I388">
        <v>26.236999999999998</v>
      </c>
      <c r="J388">
        <v>82.751999999999995</v>
      </c>
      <c r="K388">
        <v>8.7490000000000006</v>
      </c>
      <c r="L388" s="8">
        <v>0</v>
      </c>
      <c r="M388" s="8" t="s">
        <v>451</v>
      </c>
      <c r="N388" s="14" t="s">
        <v>452</v>
      </c>
    </row>
    <row r="389" spans="1:15" x14ac:dyDescent="0.25">
      <c r="A389" t="s">
        <v>411</v>
      </c>
      <c r="B389" t="s">
        <v>745</v>
      </c>
      <c r="C389" t="s">
        <v>748</v>
      </c>
      <c r="D389" t="s">
        <v>751</v>
      </c>
      <c r="E389">
        <v>7</v>
      </c>
      <c r="F389" t="s">
        <v>418</v>
      </c>
      <c r="G389" s="20">
        <v>2</v>
      </c>
      <c r="H389">
        <v>2</v>
      </c>
      <c r="I389">
        <v>36.591999999999999</v>
      </c>
      <c r="J389">
        <v>89.62</v>
      </c>
      <c r="K389">
        <v>8.1809999999999992</v>
      </c>
      <c r="L389" s="8">
        <v>1</v>
      </c>
      <c r="M389" s="8" t="s">
        <v>454</v>
      </c>
      <c r="N389" s="14">
        <v>0</v>
      </c>
    </row>
    <row r="390" spans="1:15" x14ac:dyDescent="0.25">
      <c r="A390" t="s">
        <v>411</v>
      </c>
      <c r="B390" t="s">
        <v>745</v>
      </c>
      <c r="C390" t="s">
        <v>748</v>
      </c>
      <c r="D390" t="s">
        <v>751</v>
      </c>
      <c r="E390">
        <v>8</v>
      </c>
      <c r="F390" t="s">
        <v>419</v>
      </c>
      <c r="G390" s="20">
        <v>2</v>
      </c>
      <c r="H390">
        <v>2</v>
      </c>
      <c r="I390">
        <v>32.341999999999999</v>
      </c>
      <c r="J390">
        <v>80.123999999999995</v>
      </c>
      <c r="K390">
        <v>7.5759999999999996</v>
      </c>
      <c r="L390" s="8">
        <v>0</v>
      </c>
      <c r="M390" s="8" t="s">
        <v>451</v>
      </c>
      <c r="N390" s="14" t="s">
        <v>452</v>
      </c>
    </row>
    <row r="391" spans="1:15" x14ac:dyDescent="0.25">
      <c r="A391" t="s">
        <v>411</v>
      </c>
      <c r="B391" t="s">
        <v>745</v>
      </c>
      <c r="C391" t="s">
        <v>748</v>
      </c>
      <c r="D391" t="s">
        <v>751</v>
      </c>
      <c r="E391">
        <v>9</v>
      </c>
      <c r="F391" t="s">
        <v>420</v>
      </c>
      <c r="G391" s="20">
        <v>3</v>
      </c>
      <c r="H391">
        <v>3</v>
      </c>
      <c r="I391">
        <v>103.18600000000001</v>
      </c>
      <c r="J391">
        <v>65.909000000000006</v>
      </c>
      <c r="K391">
        <f>(2.632+2.101)/2</f>
        <v>2.3665000000000003</v>
      </c>
      <c r="L391" s="8">
        <v>1</v>
      </c>
      <c r="M391" s="8" t="s">
        <v>454</v>
      </c>
      <c r="N391" s="14">
        <v>0</v>
      </c>
    </row>
    <row r="392" spans="1:15" x14ac:dyDescent="0.25">
      <c r="A392" t="s">
        <v>411</v>
      </c>
      <c r="B392" t="s">
        <v>745</v>
      </c>
      <c r="C392" t="s">
        <v>748</v>
      </c>
      <c r="D392" t="s">
        <v>751</v>
      </c>
      <c r="E392">
        <v>10</v>
      </c>
      <c r="F392" t="s">
        <v>421</v>
      </c>
      <c r="G392" s="20">
        <v>3</v>
      </c>
      <c r="H392">
        <v>3</v>
      </c>
      <c r="I392">
        <f>63.359+10.474</f>
        <v>73.832999999999998</v>
      </c>
      <c r="J392">
        <v>37.603999999999999</v>
      </c>
      <c r="K392">
        <f>(1.463+1.37)/2</f>
        <v>1.4165000000000001</v>
      </c>
      <c r="L392" s="8">
        <v>1</v>
      </c>
      <c r="M392" s="8" t="s">
        <v>451</v>
      </c>
      <c r="N392" s="14">
        <v>9.5440000000000005</v>
      </c>
    </row>
    <row r="393" spans="1:15" x14ac:dyDescent="0.25">
      <c r="A393" t="s">
        <v>411</v>
      </c>
      <c r="B393" t="s">
        <v>745</v>
      </c>
      <c r="C393" t="s">
        <v>748</v>
      </c>
      <c r="D393" t="s">
        <v>751</v>
      </c>
      <c r="E393">
        <v>11</v>
      </c>
      <c r="F393" t="s">
        <v>422</v>
      </c>
      <c r="G393" s="20">
        <v>3</v>
      </c>
      <c r="H393">
        <v>4</v>
      </c>
      <c r="I393">
        <v>93.387</v>
      </c>
      <c r="J393">
        <v>35.756</v>
      </c>
      <c r="K393">
        <f>(1.879+2.349)/2</f>
        <v>2.1139999999999999</v>
      </c>
      <c r="L393" s="8">
        <v>0</v>
      </c>
      <c r="M393" s="8" t="s">
        <v>451</v>
      </c>
      <c r="N393" s="14" t="s">
        <v>452</v>
      </c>
    </row>
    <row r="394" spans="1:15" x14ac:dyDescent="0.25">
      <c r="A394" t="s">
        <v>411</v>
      </c>
      <c r="B394" t="s">
        <v>745</v>
      </c>
      <c r="C394" t="s">
        <v>748</v>
      </c>
      <c r="D394" t="s">
        <v>751</v>
      </c>
      <c r="E394">
        <v>12</v>
      </c>
      <c r="F394" t="s">
        <v>423</v>
      </c>
      <c r="G394" s="20">
        <v>3</v>
      </c>
      <c r="H394">
        <v>3</v>
      </c>
      <c r="I394">
        <f>44.183+30.71+36.097</f>
        <v>110.99000000000001</v>
      </c>
      <c r="J394">
        <v>42.133000000000003</v>
      </c>
      <c r="K394">
        <f>(2.272+2.971+2.564+2.53)/4</f>
        <v>2.5842499999999999</v>
      </c>
      <c r="L394" s="8">
        <v>2</v>
      </c>
      <c r="M394" s="8" t="s">
        <v>454</v>
      </c>
      <c r="N394" s="14">
        <v>0</v>
      </c>
    </row>
    <row r="395" spans="1:15" x14ac:dyDescent="0.25">
      <c r="A395" t="s">
        <v>411</v>
      </c>
      <c r="B395" t="s">
        <v>745</v>
      </c>
      <c r="C395" t="s">
        <v>748</v>
      </c>
      <c r="D395" t="s">
        <v>751</v>
      </c>
      <c r="E395">
        <v>13</v>
      </c>
      <c r="F395" t="s">
        <v>424</v>
      </c>
      <c r="G395" s="20">
        <v>3</v>
      </c>
      <c r="H395">
        <v>3</v>
      </c>
      <c r="I395">
        <v>139.95400000000001</v>
      </c>
      <c r="J395">
        <v>31.315999999999999</v>
      </c>
      <c r="K395">
        <f>(2.594+1.661)/2</f>
        <v>2.1274999999999999</v>
      </c>
      <c r="L395" s="8">
        <v>0</v>
      </c>
      <c r="M395" s="8" t="s">
        <v>451</v>
      </c>
      <c r="N395" s="14" t="s">
        <v>452</v>
      </c>
      <c r="O395" s="1" t="s">
        <v>65</v>
      </c>
    </row>
    <row r="396" spans="1:15" x14ac:dyDescent="0.25">
      <c r="A396" t="s">
        <v>411</v>
      </c>
      <c r="B396" t="s">
        <v>745</v>
      </c>
      <c r="C396" t="s">
        <v>748</v>
      </c>
      <c r="D396" t="s">
        <v>751</v>
      </c>
      <c r="E396">
        <v>14</v>
      </c>
      <c r="F396" t="s">
        <v>425</v>
      </c>
      <c r="G396" s="20">
        <v>3</v>
      </c>
      <c r="H396">
        <v>3</v>
      </c>
      <c r="I396">
        <f>86.379+19.272</f>
        <v>105.65100000000001</v>
      </c>
      <c r="J396">
        <v>53.514000000000003</v>
      </c>
      <c r="K396">
        <f>(2.775+1.661)/2</f>
        <v>2.218</v>
      </c>
      <c r="L396" s="8">
        <v>1</v>
      </c>
      <c r="M396" s="8" t="s">
        <v>454</v>
      </c>
      <c r="N396" s="14">
        <v>0</v>
      </c>
    </row>
    <row r="397" spans="1:15" x14ac:dyDescent="0.25">
      <c r="A397" t="s">
        <v>411</v>
      </c>
      <c r="B397" t="s">
        <v>745</v>
      </c>
      <c r="C397" t="s">
        <v>748</v>
      </c>
      <c r="D397" t="s">
        <v>751</v>
      </c>
      <c r="E397">
        <v>15</v>
      </c>
      <c r="F397" t="s">
        <v>426</v>
      </c>
      <c r="G397" s="20">
        <v>3</v>
      </c>
      <c r="H397">
        <v>3</v>
      </c>
      <c r="I397">
        <f>43.121+43.109</f>
        <v>86.23</v>
      </c>
      <c r="J397">
        <v>42.843000000000004</v>
      </c>
      <c r="K397">
        <f>(3.102+1.993+1.529)/3</f>
        <v>2.2079999999999997</v>
      </c>
      <c r="L397" s="8">
        <v>1</v>
      </c>
      <c r="M397" s="8" t="s">
        <v>454</v>
      </c>
      <c r="N397" s="14">
        <v>0</v>
      </c>
    </row>
    <row r="398" spans="1:15" x14ac:dyDescent="0.25">
      <c r="A398" t="s">
        <v>411</v>
      </c>
      <c r="B398" t="s">
        <v>745</v>
      </c>
      <c r="C398" t="s">
        <v>748</v>
      </c>
      <c r="D398" t="s">
        <v>751</v>
      </c>
      <c r="E398">
        <v>16</v>
      </c>
      <c r="F398" t="s">
        <v>427</v>
      </c>
      <c r="G398" s="20">
        <v>3</v>
      </c>
      <c r="H398">
        <v>3</v>
      </c>
      <c r="I398">
        <f>25.387+64.083</f>
        <v>89.47</v>
      </c>
      <c r="J398">
        <v>57.12</v>
      </c>
      <c r="K398">
        <f>(2.727+2.233)/2</f>
        <v>2.48</v>
      </c>
      <c r="L398" s="8">
        <v>1</v>
      </c>
      <c r="M398" s="8" t="s">
        <v>451</v>
      </c>
      <c r="N398" s="14">
        <v>33.043999999999997</v>
      </c>
    </row>
    <row r="399" spans="1:15" x14ac:dyDescent="0.25">
      <c r="A399" t="s">
        <v>411</v>
      </c>
      <c r="B399" t="s">
        <v>745</v>
      </c>
      <c r="C399" t="s">
        <v>748</v>
      </c>
      <c r="D399" t="s">
        <v>751</v>
      </c>
      <c r="E399">
        <v>17</v>
      </c>
      <c r="F399" t="s">
        <v>428</v>
      </c>
      <c r="G399" s="20">
        <v>2</v>
      </c>
      <c r="H399">
        <v>2</v>
      </c>
      <c r="I399">
        <v>50.164999999999999</v>
      </c>
      <c r="J399">
        <v>61.343000000000004</v>
      </c>
      <c r="K399">
        <v>4.8920000000000003</v>
      </c>
      <c r="L399" s="8">
        <v>1</v>
      </c>
      <c r="M399" s="8" t="s">
        <v>454</v>
      </c>
      <c r="N399" s="14">
        <v>0</v>
      </c>
      <c r="O399" s="1" t="s">
        <v>158</v>
      </c>
    </row>
    <row r="400" spans="1:15" x14ac:dyDescent="0.25">
      <c r="A400" t="s">
        <v>411</v>
      </c>
      <c r="B400" t="s">
        <v>745</v>
      </c>
      <c r="C400" t="s">
        <v>748</v>
      </c>
      <c r="D400" t="s">
        <v>751</v>
      </c>
      <c r="E400">
        <v>18</v>
      </c>
      <c r="F400" t="s">
        <v>429</v>
      </c>
      <c r="G400" s="20">
        <v>2</v>
      </c>
      <c r="H400">
        <v>2</v>
      </c>
      <c r="I400">
        <v>28.774999999999999</v>
      </c>
      <c r="J400">
        <v>88.751999999999995</v>
      </c>
      <c r="K400">
        <v>4.4740000000000002</v>
      </c>
      <c r="L400" s="8">
        <v>1</v>
      </c>
      <c r="M400" s="8" t="s">
        <v>454</v>
      </c>
      <c r="N400" s="14">
        <v>0</v>
      </c>
    </row>
    <row r="401" spans="1:15" x14ac:dyDescent="0.25">
      <c r="A401" t="s">
        <v>411</v>
      </c>
      <c r="B401" t="s">
        <v>745</v>
      </c>
      <c r="C401" t="s">
        <v>748</v>
      </c>
      <c r="D401" t="s">
        <v>751</v>
      </c>
      <c r="E401">
        <v>19</v>
      </c>
      <c r="F401" t="s">
        <v>430</v>
      </c>
      <c r="G401" s="20">
        <v>2</v>
      </c>
      <c r="H401">
        <v>2</v>
      </c>
      <c r="I401">
        <v>36.798999999999999</v>
      </c>
      <c r="J401">
        <v>68.158000000000001</v>
      </c>
      <c r="K401">
        <v>6.9829999999999997</v>
      </c>
      <c r="L401" s="8">
        <v>1</v>
      </c>
      <c r="M401" s="8" t="s">
        <v>454</v>
      </c>
      <c r="N401" s="14">
        <v>0</v>
      </c>
    </row>
    <row r="402" spans="1:15" x14ac:dyDescent="0.25">
      <c r="A402" t="s">
        <v>411</v>
      </c>
      <c r="B402" t="s">
        <v>745</v>
      </c>
      <c r="C402" t="s">
        <v>748</v>
      </c>
      <c r="D402" t="s">
        <v>751</v>
      </c>
      <c r="E402">
        <v>20</v>
      </c>
      <c r="F402" t="s">
        <v>431</v>
      </c>
      <c r="G402" s="20">
        <v>2</v>
      </c>
      <c r="H402">
        <v>2</v>
      </c>
      <c r="I402">
        <v>29.46</v>
      </c>
      <c r="J402">
        <v>76.744</v>
      </c>
      <c r="K402">
        <v>7.109</v>
      </c>
      <c r="L402" s="8">
        <v>1</v>
      </c>
      <c r="M402" s="8" t="s">
        <v>454</v>
      </c>
      <c r="N402" s="14">
        <v>0</v>
      </c>
    </row>
    <row r="403" spans="1:15" x14ac:dyDescent="0.25">
      <c r="A403" t="s">
        <v>411</v>
      </c>
      <c r="B403" t="s">
        <v>745</v>
      </c>
      <c r="C403" t="s">
        <v>748</v>
      </c>
      <c r="D403" t="s">
        <v>751</v>
      </c>
      <c r="E403">
        <v>21</v>
      </c>
      <c r="F403" t="s">
        <v>432</v>
      </c>
      <c r="G403" s="20">
        <v>3</v>
      </c>
      <c r="H403">
        <v>4</v>
      </c>
      <c r="I403">
        <f>117.95+17.29+4.155</f>
        <v>139.39500000000001</v>
      </c>
      <c r="J403">
        <v>21.54</v>
      </c>
      <c r="K403">
        <f>(1.993+3.743)/2</f>
        <v>2.8679999999999999</v>
      </c>
      <c r="L403" s="8">
        <v>3</v>
      </c>
      <c r="M403" s="8" t="s">
        <v>454</v>
      </c>
      <c r="N403" s="14">
        <v>0</v>
      </c>
    </row>
    <row r="404" spans="1:15" x14ac:dyDescent="0.25">
      <c r="A404" t="s">
        <v>411</v>
      </c>
      <c r="B404" t="s">
        <v>745</v>
      </c>
      <c r="C404" t="s">
        <v>748</v>
      </c>
      <c r="D404" t="s">
        <v>751</v>
      </c>
      <c r="E404">
        <v>22</v>
      </c>
      <c r="F404" t="s">
        <v>433</v>
      </c>
      <c r="G404" s="20">
        <v>3</v>
      </c>
      <c r="H404">
        <v>4</v>
      </c>
      <c r="I404">
        <v>113.42700000000001</v>
      </c>
      <c r="J404">
        <v>22.806999999999999</v>
      </c>
      <c r="K404">
        <f>(1.954+2.857)/2</f>
        <v>2.4055</v>
      </c>
      <c r="L404" s="8">
        <v>0</v>
      </c>
      <c r="M404" s="8" t="s">
        <v>451</v>
      </c>
      <c r="N404" s="14" t="s">
        <v>452</v>
      </c>
    </row>
    <row r="405" spans="1:15" x14ac:dyDescent="0.25">
      <c r="A405" t="s">
        <v>411</v>
      </c>
      <c r="B405" t="s">
        <v>745</v>
      </c>
      <c r="C405" t="s">
        <v>748</v>
      </c>
      <c r="D405" t="s">
        <v>751</v>
      </c>
      <c r="E405">
        <v>23</v>
      </c>
      <c r="F405" t="s">
        <v>434</v>
      </c>
      <c r="G405" s="20">
        <v>3</v>
      </c>
      <c r="H405">
        <v>3</v>
      </c>
      <c r="I405">
        <f>73.302+42.693+25.552</f>
        <v>141.547</v>
      </c>
      <c r="J405">
        <v>50.43</v>
      </c>
      <c r="K405">
        <f>(1.739+2.884+4.204)/3</f>
        <v>2.9423333333333335</v>
      </c>
      <c r="L405" s="8">
        <v>2</v>
      </c>
      <c r="M405" s="8" t="s">
        <v>454</v>
      </c>
      <c r="N405" s="14">
        <v>0</v>
      </c>
    </row>
    <row r="406" spans="1:15" x14ac:dyDescent="0.25">
      <c r="A406" t="s">
        <v>411</v>
      </c>
      <c r="B406" t="s">
        <v>745</v>
      </c>
      <c r="C406" t="s">
        <v>748</v>
      </c>
      <c r="D406" t="s">
        <v>751</v>
      </c>
      <c r="E406">
        <v>24</v>
      </c>
      <c r="F406" t="s">
        <v>435</v>
      </c>
      <c r="G406" s="20">
        <v>3</v>
      </c>
      <c r="H406">
        <v>3</v>
      </c>
      <c r="I406">
        <f>20.958+43.874+30.303</f>
        <v>95.134999999999991</v>
      </c>
      <c r="J406">
        <v>55.981000000000002</v>
      </c>
      <c r="K406">
        <f>(1.937+2.678)/2</f>
        <v>2.3075000000000001</v>
      </c>
      <c r="L406" s="8">
        <v>2</v>
      </c>
      <c r="M406" s="8" t="s">
        <v>454</v>
      </c>
      <c r="N406" s="14">
        <v>0</v>
      </c>
    </row>
    <row r="407" spans="1:15" x14ac:dyDescent="0.25">
      <c r="A407" t="s">
        <v>411</v>
      </c>
      <c r="B407" t="s">
        <v>745</v>
      </c>
      <c r="C407" t="s">
        <v>748</v>
      </c>
      <c r="D407" t="s">
        <v>751</v>
      </c>
      <c r="E407">
        <v>25</v>
      </c>
      <c r="F407" t="s">
        <v>436</v>
      </c>
      <c r="G407" s="20">
        <v>3</v>
      </c>
      <c r="H407">
        <v>3</v>
      </c>
      <c r="I407">
        <f>132.612+44.186+13.845</f>
        <v>190.643</v>
      </c>
      <c r="J407">
        <v>46.045999999999999</v>
      </c>
      <c r="K407">
        <f>(1.401+1.694+1.529)/3</f>
        <v>1.5413333333333332</v>
      </c>
      <c r="L407" s="8">
        <v>3</v>
      </c>
      <c r="M407" s="8" t="s">
        <v>451</v>
      </c>
      <c r="N407" s="14">
        <v>6.5780000000000003</v>
      </c>
    </row>
    <row r="408" spans="1:15" x14ac:dyDescent="0.25">
      <c r="A408" t="s">
        <v>411</v>
      </c>
      <c r="B408" t="s">
        <v>745</v>
      </c>
      <c r="C408" t="s">
        <v>748</v>
      </c>
      <c r="D408" t="s">
        <v>751</v>
      </c>
      <c r="E408">
        <v>26</v>
      </c>
      <c r="F408" t="s">
        <v>437</v>
      </c>
      <c r="G408" s="20">
        <v>3</v>
      </c>
      <c r="H408">
        <v>3</v>
      </c>
      <c r="I408">
        <f>71.751+40.542+7.329</f>
        <v>119.622</v>
      </c>
      <c r="J408">
        <v>50.728000000000002</v>
      </c>
      <c r="K408">
        <f>(2.363+1.499)/2</f>
        <v>1.931</v>
      </c>
      <c r="L408" s="8">
        <v>2</v>
      </c>
      <c r="M408" s="8" t="s">
        <v>451</v>
      </c>
      <c r="N408" s="14">
        <v>38.22</v>
      </c>
    </row>
    <row r="409" spans="1:15" x14ac:dyDescent="0.25">
      <c r="A409" t="s">
        <v>411</v>
      </c>
      <c r="B409" t="s">
        <v>745</v>
      </c>
      <c r="C409" t="s">
        <v>748</v>
      </c>
      <c r="D409" t="s">
        <v>751</v>
      </c>
      <c r="E409">
        <v>27</v>
      </c>
      <c r="F409" t="s">
        <v>438</v>
      </c>
      <c r="G409" s="20">
        <v>3</v>
      </c>
      <c r="H409">
        <v>3</v>
      </c>
      <c r="I409">
        <v>71.599999999999994</v>
      </c>
      <c r="J409">
        <v>43.85</v>
      </c>
      <c r="K409">
        <f>(2.228+2.208)/2</f>
        <v>2.218</v>
      </c>
      <c r="L409" s="8">
        <v>0</v>
      </c>
      <c r="M409" s="8" t="s">
        <v>451</v>
      </c>
      <c r="N409" s="14" t="s">
        <v>452</v>
      </c>
    </row>
    <row r="410" spans="1:15" x14ac:dyDescent="0.25">
      <c r="A410" t="s">
        <v>411</v>
      </c>
      <c r="B410" t="s">
        <v>745</v>
      </c>
      <c r="C410" t="s">
        <v>748</v>
      </c>
      <c r="D410" t="s">
        <v>751</v>
      </c>
      <c r="E410">
        <v>28</v>
      </c>
      <c r="F410" t="s">
        <v>439</v>
      </c>
      <c r="G410" s="20">
        <v>3</v>
      </c>
      <c r="H410">
        <v>3</v>
      </c>
      <c r="I410">
        <v>45.534999999999997</v>
      </c>
      <c r="J410">
        <v>51.106000000000002</v>
      </c>
      <c r="K410">
        <f>(2.905+4.811)/2</f>
        <v>3.8579999999999997</v>
      </c>
      <c r="L410" s="8">
        <v>0</v>
      </c>
      <c r="M410" s="8" t="s">
        <v>451</v>
      </c>
      <c r="N410" s="14" t="s">
        <v>452</v>
      </c>
    </row>
    <row r="411" spans="1:15" x14ac:dyDescent="0.25">
      <c r="A411" t="s">
        <v>411</v>
      </c>
      <c r="B411" t="s">
        <v>745</v>
      </c>
      <c r="C411" t="s">
        <v>748</v>
      </c>
      <c r="D411" t="s">
        <v>751</v>
      </c>
      <c r="E411">
        <v>29</v>
      </c>
      <c r="F411" t="s">
        <v>440</v>
      </c>
      <c r="G411" s="20">
        <v>3</v>
      </c>
      <c r="H411">
        <v>4</v>
      </c>
      <c r="I411">
        <v>88.350999999999999</v>
      </c>
      <c r="J411">
        <v>27.402000000000001</v>
      </c>
      <c r="K411">
        <f>(1.329+2.263)/2</f>
        <v>1.7959999999999998</v>
      </c>
      <c r="L411" s="8">
        <v>0</v>
      </c>
      <c r="M411" s="8" t="s">
        <v>451</v>
      </c>
      <c r="N411" s="14" t="s">
        <v>452</v>
      </c>
    </row>
    <row r="412" spans="1:15" x14ac:dyDescent="0.25">
      <c r="A412" t="s">
        <v>411</v>
      </c>
      <c r="B412" t="s">
        <v>745</v>
      </c>
      <c r="C412" t="s">
        <v>748</v>
      </c>
      <c r="D412" t="s">
        <v>751</v>
      </c>
      <c r="E412">
        <v>30</v>
      </c>
      <c r="F412" t="s">
        <v>441</v>
      </c>
      <c r="G412" s="20">
        <v>3</v>
      </c>
      <c r="H412">
        <v>3</v>
      </c>
      <c r="I412">
        <f>36.074+95.488</f>
        <v>131.56200000000001</v>
      </c>
      <c r="J412">
        <v>37.398000000000003</v>
      </c>
      <c r="K412">
        <f>(2.381+1.789)/2</f>
        <v>2.085</v>
      </c>
      <c r="L412" s="8">
        <v>1</v>
      </c>
      <c r="M412" s="8" t="s">
        <v>454</v>
      </c>
      <c r="N412" s="14">
        <v>0</v>
      </c>
    </row>
    <row r="413" spans="1:15" x14ac:dyDescent="0.25">
      <c r="A413" t="s">
        <v>411</v>
      </c>
      <c r="B413" t="s">
        <v>745</v>
      </c>
      <c r="C413" t="s">
        <v>748</v>
      </c>
      <c r="D413" t="s">
        <v>751</v>
      </c>
      <c r="E413">
        <v>31</v>
      </c>
      <c r="F413" t="s">
        <v>442</v>
      </c>
      <c r="G413" s="20">
        <v>3</v>
      </c>
      <c r="H413">
        <v>3</v>
      </c>
      <c r="I413">
        <f>78.268+23.759+26.999</f>
        <v>129.02600000000001</v>
      </c>
      <c r="J413">
        <v>62.825000000000003</v>
      </c>
      <c r="K413">
        <f>(2.96+3.134)/2</f>
        <v>3.0469999999999997</v>
      </c>
      <c r="L413" s="8">
        <v>2</v>
      </c>
      <c r="M413" s="8" t="s">
        <v>451</v>
      </c>
      <c r="N413" s="14">
        <v>6.2389999999999999</v>
      </c>
    </row>
    <row r="414" spans="1:15" x14ac:dyDescent="0.25">
      <c r="A414" t="s">
        <v>411</v>
      </c>
      <c r="B414" t="s">
        <v>745</v>
      </c>
      <c r="C414" t="s">
        <v>748</v>
      </c>
      <c r="D414" t="s">
        <v>751</v>
      </c>
      <c r="E414">
        <v>32</v>
      </c>
      <c r="F414" t="s">
        <v>443</v>
      </c>
      <c r="G414" s="20">
        <v>3</v>
      </c>
      <c r="H414">
        <v>4</v>
      </c>
      <c r="I414">
        <f>37.346+129.368</f>
        <v>166.714</v>
      </c>
      <c r="J414">
        <v>29.798999999999999</v>
      </c>
      <c r="K414">
        <f>(1.345+1.641+3.062)/2</f>
        <v>3.024</v>
      </c>
      <c r="L414" s="8">
        <v>1</v>
      </c>
      <c r="M414" s="8" t="s">
        <v>454</v>
      </c>
      <c r="N414" s="14">
        <v>0</v>
      </c>
    </row>
    <row r="415" spans="1:15" x14ac:dyDescent="0.25">
      <c r="A415" t="s">
        <v>411</v>
      </c>
      <c r="B415" t="s">
        <v>745</v>
      </c>
      <c r="C415" t="s">
        <v>748</v>
      </c>
      <c r="D415" t="s">
        <v>751</v>
      </c>
      <c r="E415">
        <v>33</v>
      </c>
      <c r="F415" t="s">
        <v>444</v>
      </c>
      <c r="G415" s="20">
        <v>3</v>
      </c>
      <c r="H415">
        <v>3</v>
      </c>
      <c r="I415">
        <v>30.666</v>
      </c>
      <c r="J415">
        <v>62.23</v>
      </c>
      <c r="K415">
        <f>(1.894+1.645)/2</f>
        <v>1.7694999999999999</v>
      </c>
      <c r="L415" s="8">
        <v>0</v>
      </c>
      <c r="M415" s="8" t="s">
        <v>451</v>
      </c>
      <c r="N415" s="14" t="s">
        <v>452</v>
      </c>
    </row>
    <row r="416" spans="1:15" x14ac:dyDescent="0.25">
      <c r="A416" t="s">
        <v>411</v>
      </c>
      <c r="B416" t="s">
        <v>745</v>
      </c>
      <c r="C416" t="s">
        <v>748</v>
      </c>
      <c r="D416" t="s">
        <v>751</v>
      </c>
      <c r="E416">
        <v>34</v>
      </c>
      <c r="F416" t="s">
        <v>445</v>
      </c>
      <c r="G416" s="20">
        <v>3</v>
      </c>
      <c r="H416">
        <v>3</v>
      </c>
      <c r="I416">
        <f>65.977+8.418</f>
        <v>74.39500000000001</v>
      </c>
      <c r="J416">
        <v>46.805</v>
      </c>
      <c r="K416">
        <f>(2.22+2.14+1.396)/3</f>
        <v>1.9186666666666667</v>
      </c>
      <c r="L416" s="8">
        <v>1</v>
      </c>
      <c r="M416" s="8" t="s">
        <v>454</v>
      </c>
      <c r="N416" s="14">
        <v>0</v>
      </c>
      <c r="O416" s="1" t="s">
        <v>174</v>
      </c>
    </row>
    <row r="417" spans="1:15" x14ac:dyDescent="0.25">
      <c r="A417" t="s">
        <v>411</v>
      </c>
      <c r="B417" t="s">
        <v>745</v>
      </c>
      <c r="C417" t="s">
        <v>748</v>
      </c>
      <c r="D417" t="s">
        <v>751</v>
      </c>
      <c r="E417">
        <v>35</v>
      </c>
      <c r="F417" t="s">
        <v>446</v>
      </c>
      <c r="G417" s="20">
        <v>3</v>
      </c>
      <c r="H417">
        <v>3</v>
      </c>
      <c r="I417">
        <f>70.588+84.655+12.877</f>
        <v>168.12</v>
      </c>
      <c r="J417">
        <v>38.402000000000001</v>
      </c>
      <c r="K417">
        <f>(1.634+1.131)/2</f>
        <v>1.3824999999999998</v>
      </c>
      <c r="L417" s="8">
        <v>0</v>
      </c>
      <c r="M417" s="8" t="s">
        <v>451</v>
      </c>
      <c r="N417" s="14" t="s">
        <v>452</v>
      </c>
      <c r="O417" s="1" t="s">
        <v>447</v>
      </c>
    </row>
    <row r="418" spans="1:15" x14ac:dyDescent="0.25">
      <c r="A418" t="s">
        <v>411</v>
      </c>
      <c r="B418" t="s">
        <v>745</v>
      </c>
      <c r="C418" t="s">
        <v>748</v>
      </c>
      <c r="D418" t="s">
        <v>751</v>
      </c>
      <c r="E418">
        <v>36</v>
      </c>
      <c r="F418" t="s">
        <v>453</v>
      </c>
      <c r="G418" s="20">
        <v>3</v>
      </c>
      <c r="H418">
        <v>3</v>
      </c>
      <c r="I418">
        <f>104.855+13.188+6.074+30.591</f>
        <v>154.708</v>
      </c>
      <c r="J418">
        <v>43.914000000000001</v>
      </c>
      <c r="K418">
        <f>(2.02+1.837)/2</f>
        <v>1.9285000000000001</v>
      </c>
      <c r="L418" s="8">
        <v>3</v>
      </c>
      <c r="M418" s="8" t="s">
        <v>454</v>
      </c>
      <c r="N418" s="14">
        <v>0</v>
      </c>
    </row>
    <row r="419" spans="1:15" x14ac:dyDescent="0.25">
      <c r="A419" t="s">
        <v>411</v>
      </c>
      <c r="B419" t="s">
        <v>745</v>
      </c>
      <c r="C419" t="s">
        <v>748</v>
      </c>
      <c r="D419" t="s">
        <v>751</v>
      </c>
      <c r="E419">
        <v>37</v>
      </c>
      <c r="F419" t="s">
        <v>455</v>
      </c>
      <c r="G419" s="20">
        <v>3</v>
      </c>
      <c r="H419">
        <v>3</v>
      </c>
      <c r="I419">
        <f>108.811+34.068</f>
        <v>142.87900000000002</v>
      </c>
      <c r="J419">
        <v>45.396999999999998</v>
      </c>
      <c r="K419">
        <f>(1.694+1.463)/2</f>
        <v>1.5785</v>
      </c>
      <c r="L419" s="8">
        <v>1</v>
      </c>
      <c r="M419" s="8" t="s">
        <v>451</v>
      </c>
      <c r="N419" s="14">
        <v>8.2899999999999991</v>
      </c>
    </row>
    <row r="420" spans="1:15" x14ac:dyDescent="0.25">
      <c r="A420" t="s">
        <v>411</v>
      </c>
      <c r="B420" t="s">
        <v>745</v>
      </c>
      <c r="C420" t="s">
        <v>748</v>
      </c>
      <c r="D420" t="s">
        <v>751</v>
      </c>
      <c r="E420">
        <v>38</v>
      </c>
      <c r="F420" t="s">
        <v>456</v>
      </c>
      <c r="G420" s="20">
        <v>3</v>
      </c>
      <c r="H420">
        <v>3</v>
      </c>
      <c r="I420">
        <f>81.178+9.212</f>
        <v>90.39</v>
      </c>
      <c r="J420">
        <v>58.008000000000003</v>
      </c>
      <c r="K420">
        <f>(2.008+2.128)/2</f>
        <v>2.0680000000000001</v>
      </c>
      <c r="L420" s="8">
        <v>1</v>
      </c>
      <c r="M420" s="8" t="s">
        <v>451</v>
      </c>
      <c r="N420" s="14">
        <v>11.64</v>
      </c>
    </row>
    <row r="421" spans="1:15" x14ac:dyDescent="0.25">
      <c r="A421" t="s">
        <v>411</v>
      </c>
      <c r="B421" t="s">
        <v>745</v>
      </c>
      <c r="C421" t="s">
        <v>748</v>
      </c>
      <c r="D421" t="s">
        <v>751</v>
      </c>
      <c r="E421">
        <v>39</v>
      </c>
      <c r="F421" t="s">
        <v>457</v>
      </c>
      <c r="G421" s="20">
        <v>3</v>
      </c>
      <c r="H421">
        <v>3</v>
      </c>
      <c r="I421">
        <v>112.867</v>
      </c>
      <c r="J421">
        <v>59.563000000000002</v>
      </c>
      <c r="K421">
        <f>(2.294+1.74)/2</f>
        <v>2.0169999999999999</v>
      </c>
      <c r="L421" s="8">
        <v>0</v>
      </c>
      <c r="M421" s="8" t="s">
        <v>451</v>
      </c>
      <c r="N421" s="14" t="s">
        <v>452</v>
      </c>
    </row>
    <row r="422" spans="1:15" x14ac:dyDescent="0.25">
      <c r="A422" t="s">
        <v>411</v>
      </c>
      <c r="B422" t="s">
        <v>745</v>
      </c>
      <c r="C422" t="s">
        <v>748</v>
      </c>
      <c r="D422" t="s">
        <v>751</v>
      </c>
      <c r="E422">
        <v>40</v>
      </c>
      <c r="F422" t="s">
        <v>458</v>
      </c>
      <c r="G422" s="20">
        <v>3</v>
      </c>
      <c r="H422">
        <v>3</v>
      </c>
      <c r="I422">
        <v>142.18799999999999</v>
      </c>
      <c r="J422">
        <v>56.607999999999997</v>
      </c>
      <c r="K422">
        <f>(1.401+2.193)/2</f>
        <v>1.7970000000000002</v>
      </c>
      <c r="L422" s="8">
        <v>0</v>
      </c>
      <c r="M422" s="8" t="s">
        <v>451</v>
      </c>
      <c r="N422" s="14" t="s">
        <v>452</v>
      </c>
    </row>
    <row r="423" spans="1:15" x14ac:dyDescent="0.25">
      <c r="A423" t="s">
        <v>411</v>
      </c>
      <c r="B423" t="s">
        <v>745</v>
      </c>
      <c r="C423" t="s">
        <v>748</v>
      </c>
      <c r="D423" t="s">
        <v>751</v>
      </c>
      <c r="E423">
        <v>41</v>
      </c>
      <c r="F423" t="s">
        <v>459</v>
      </c>
      <c r="G423" s="20">
        <v>3</v>
      </c>
      <c r="H423">
        <v>3</v>
      </c>
      <c r="I423">
        <f>76.877+21.574+14.185</f>
        <v>112.636</v>
      </c>
      <c r="J423">
        <v>58.780999999999999</v>
      </c>
      <c r="K423">
        <f>(2.263+2.069)/2</f>
        <v>2.1659999999999999</v>
      </c>
      <c r="L423" s="8">
        <v>2</v>
      </c>
      <c r="M423" s="8" t="s">
        <v>454</v>
      </c>
      <c r="N423" s="14">
        <v>0</v>
      </c>
    </row>
    <row r="424" spans="1:15" x14ac:dyDescent="0.25">
      <c r="A424" t="s">
        <v>411</v>
      </c>
      <c r="B424" t="s">
        <v>745</v>
      </c>
      <c r="C424" t="s">
        <v>748</v>
      </c>
      <c r="D424" t="s">
        <v>751</v>
      </c>
      <c r="E424">
        <v>42</v>
      </c>
      <c r="F424" t="s">
        <v>460</v>
      </c>
      <c r="G424" s="20">
        <v>3</v>
      </c>
      <c r="H424">
        <v>3</v>
      </c>
      <c r="I424">
        <f>99.393+37.214+60.628</f>
        <v>197.23500000000001</v>
      </c>
      <c r="J424">
        <v>52.936999999999998</v>
      </c>
      <c r="K424">
        <f>(1.982+1.641)/2</f>
        <v>1.8115000000000001</v>
      </c>
      <c r="L424" s="8">
        <v>2</v>
      </c>
      <c r="M424" s="8" t="s">
        <v>454</v>
      </c>
      <c r="N424" s="14">
        <v>0</v>
      </c>
    </row>
    <row r="425" spans="1:15" x14ac:dyDescent="0.25">
      <c r="A425" t="s">
        <v>411</v>
      </c>
      <c r="B425" t="s">
        <v>745</v>
      </c>
      <c r="C425" t="s">
        <v>748</v>
      </c>
      <c r="D425" t="s">
        <v>751</v>
      </c>
      <c r="E425">
        <v>43</v>
      </c>
      <c r="F425" t="s">
        <v>461</v>
      </c>
      <c r="G425" s="20">
        <v>3</v>
      </c>
      <c r="H425">
        <v>4</v>
      </c>
      <c r="I425">
        <f>67.33+65.639</f>
        <v>132.96899999999999</v>
      </c>
      <c r="J425">
        <v>31.72</v>
      </c>
      <c r="K425">
        <f>(1.551+1.493)/2</f>
        <v>1.522</v>
      </c>
      <c r="L425" s="8">
        <v>1</v>
      </c>
      <c r="M425" s="8" t="s">
        <v>451</v>
      </c>
      <c r="N425" s="14">
        <v>28.056999999999999</v>
      </c>
    </row>
    <row r="426" spans="1:15" x14ac:dyDescent="0.25">
      <c r="A426" t="s">
        <v>411</v>
      </c>
      <c r="B426" t="s">
        <v>745</v>
      </c>
      <c r="C426" t="s">
        <v>748</v>
      </c>
      <c r="D426" t="s">
        <v>751</v>
      </c>
      <c r="E426">
        <v>44</v>
      </c>
      <c r="F426" t="s">
        <v>462</v>
      </c>
      <c r="G426" s="20">
        <v>3</v>
      </c>
      <c r="H426">
        <v>4</v>
      </c>
      <c r="I426">
        <f>141.584+40.209</f>
        <v>181.79300000000001</v>
      </c>
      <c r="J426">
        <v>24.626999999999999</v>
      </c>
      <c r="K426">
        <f>(2.085+2.49+2.949)/3</f>
        <v>2.508</v>
      </c>
      <c r="L426" s="8">
        <v>1</v>
      </c>
      <c r="M426" s="8" t="s">
        <v>454</v>
      </c>
      <c r="N426" s="14">
        <v>0</v>
      </c>
    </row>
    <row r="427" spans="1:15" x14ac:dyDescent="0.25">
      <c r="A427" t="s">
        <v>411</v>
      </c>
      <c r="B427" t="s">
        <v>745</v>
      </c>
      <c r="C427" t="s">
        <v>748</v>
      </c>
      <c r="D427" t="s">
        <v>751</v>
      </c>
      <c r="E427">
        <v>45</v>
      </c>
      <c r="F427" t="s">
        <v>463</v>
      </c>
      <c r="G427" s="20">
        <v>3</v>
      </c>
      <c r="H427">
        <v>3</v>
      </c>
      <c r="I427">
        <f>107.723+24.531</f>
        <v>132.25399999999999</v>
      </c>
      <c r="J427">
        <v>51.988999999999997</v>
      </c>
      <c r="K427">
        <f>(1.732+2.111)/2</f>
        <v>1.9215</v>
      </c>
      <c r="L427" s="8">
        <v>1</v>
      </c>
      <c r="M427" s="8" t="s">
        <v>454</v>
      </c>
      <c r="N427" s="14">
        <v>19.658999999999999</v>
      </c>
    </row>
    <row r="428" spans="1:15" x14ac:dyDescent="0.25">
      <c r="A428" t="s">
        <v>411</v>
      </c>
      <c r="B428" t="s">
        <v>745</v>
      </c>
      <c r="C428" t="s">
        <v>748</v>
      </c>
      <c r="D428" t="s">
        <v>751</v>
      </c>
      <c r="E428">
        <v>46</v>
      </c>
      <c r="F428" t="s">
        <v>464</v>
      </c>
      <c r="G428" s="20">
        <v>2</v>
      </c>
      <c r="H428">
        <v>2</v>
      </c>
      <c r="I428">
        <f>95.389+9.03+7.259</f>
        <v>111.678</v>
      </c>
      <c r="J428">
        <v>71.841999999999999</v>
      </c>
      <c r="K428">
        <v>5.6379999999999999</v>
      </c>
      <c r="L428" s="8">
        <v>2</v>
      </c>
      <c r="M428" s="8" t="s">
        <v>454</v>
      </c>
      <c r="N428" s="14">
        <v>0</v>
      </c>
    </row>
    <row r="429" spans="1:15" x14ac:dyDescent="0.25">
      <c r="A429" t="s">
        <v>411</v>
      </c>
      <c r="B429" t="s">
        <v>745</v>
      </c>
      <c r="C429" t="s">
        <v>748</v>
      </c>
      <c r="D429" t="s">
        <v>751</v>
      </c>
      <c r="E429">
        <v>47</v>
      </c>
      <c r="F429" t="s">
        <v>465</v>
      </c>
      <c r="G429" s="20">
        <v>3</v>
      </c>
      <c r="H429">
        <v>4</v>
      </c>
      <c r="I429">
        <f>68.919+10.236</f>
        <v>79.155000000000001</v>
      </c>
      <c r="J429">
        <v>20.486999999999998</v>
      </c>
      <c r="K429">
        <f>(2.543+3.254)/2</f>
        <v>2.8985000000000003</v>
      </c>
      <c r="L429" s="8">
        <v>2</v>
      </c>
      <c r="M429" s="8" t="s">
        <v>454</v>
      </c>
      <c r="N429" s="14">
        <v>0</v>
      </c>
    </row>
    <row r="430" spans="1:15" x14ac:dyDescent="0.25">
      <c r="A430" t="s">
        <v>411</v>
      </c>
      <c r="B430" t="s">
        <v>745</v>
      </c>
      <c r="C430" t="s">
        <v>748</v>
      </c>
      <c r="D430" t="s">
        <v>751</v>
      </c>
      <c r="E430">
        <v>48</v>
      </c>
      <c r="F430" t="s">
        <v>466</v>
      </c>
      <c r="G430" s="20">
        <v>3</v>
      </c>
      <c r="H430">
        <v>3</v>
      </c>
      <c r="I430">
        <v>57.173000000000002</v>
      </c>
      <c r="J430">
        <v>32.064999999999998</v>
      </c>
      <c r="K430">
        <f>(2.853+2.228)/2</f>
        <v>2.5405000000000002</v>
      </c>
      <c r="L430" s="8">
        <v>0</v>
      </c>
      <c r="M430" s="8" t="s">
        <v>451</v>
      </c>
      <c r="N430" s="14" t="s">
        <v>452</v>
      </c>
    </row>
    <row r="431" spans="1:15" x14ac:dyDescent="0.25">
      <c r="A431" t="s">
        <v>411</v>
      </c>
      <c r="B431" t="s">
        <v>745</v>
      </c>
      <c r="C431" t="s">
        <v>748</v>
      </c>
      <c r="D431" t="s">
        <v>751</v>
      </c>
      <c r="E431">
        <v>49</v>
      </c>
      <c r="F431" t="s">
        <v>467</v>
      </c>
      <c r="G431" s="20">
        <v>3</v>
      </c>
      <c r="H431">
        <v>4</v>
      </c>
      <c r="I431">
        <f>119.669+23.124+10.451</f>
        <v>153.244</v>
      </c>
      <c r="J431">
        <v>40.718000000000004</v>
      </c>
      <c r="K431">
        <f>(2.543+1.814)/2</f>
        <v>2.1785000000000001</v>
      </c>
      <c r="L431" s="8">
        <v>1</v>
      </c>
      <c r="M431" s="8" t="s">
        <v>451</v>
      </c>
      <c r="N431" s="14">
        <v>33.652000000000001</v>
      </c>
      <c r="O431" s="1" t="s">
        <v>468</v>
      </c>
    </row>
    <row r="432" spans="1:15" x14ac:dyDescent="0.25">
      <c r="A432" t="s">
        <v>411</v>
      </c>
      <c r="B432" t="s">
        <v>745</v>
      </c>
      <c r="C432" t="s">
        <v>748</v>
      </c>
      <c r="D432" t="s">
        <v>751</v>
      </c>
      <c r="E432">
        <v>50</v>
      </c>
      <c r="F432" t="s">
        <v>469</v>
      </c>
      <c r="G432" s="20">
        <v>3</v>
      </c>
      <c r="H432">
        <v>3</v>
      </c>
      <c r="I432">
        <f>68.734+44.3</f>
        <v>113.03399999999999</v>
      </c>
      <c r="J432">
        <v>48.195999999999998</v>
      </c>
      <c r="K432">
        <f>(3.891+2.342)/2</f>
        <v>3.1165000000000003</v>
      </c>
      <c r="L432" s="8">
        <v>2</v>
      </c>
      <c r="M432" s="8" t="s">
        <v>454</v>
      </c>
      <c r="N432" s="14">
        <v>0</v>
      </c>
    </row>
    <row r="433" spans="1:15" x14ac:dyDescent="0.25">
      <c r="A433" t="s">
        <v>411</v>
      </c>
      <c r="B433" t="s">
        <v>745</v>
      </c>
      <c r="C433" t="s">
        <v>748</v>
      </c>
      <c r="D433" t="s">
        <v>751</v>
      </c>
      <c r="E433">
        <v>51</v>
      </c>
      <c r="F433" t="s">
        <v>470</v>
      </c>
      <c r="G433" s="20">
        <v>2</v>
      </c>
      <c r="H433">
        <v>2</v>
      </c>
      <c r="I433">
        <v>39.834000000000003</v>
      </c>
      <c r="J433">
        <v>88.44</v>
      </c>
      <c r="K433">
        <f>(3.173+2.912)/2</f>
        <v>3.0425</v>
      </c>
      <c r="L433" s="8">
        <v>0</v>
      </c>
      <c r="M433" s="8" t="s">
        <v>451</v>
      </c>
      <c r="N433" s="14" t="s">
        <v>452</v>
      </c>
    </row>
    <row r="434" spans="1:15" x14ac:dyDescent="0.25">
      <c r="A434" t="s">
        <v>411</v>
      </c>
      <c r="B434" t="s">
        <v>745</v>
      </c>
      <c r="C434" t="s">
        <v>748</v>
      </c>
      <c r="D434" t="s">
        <v>751</v>
      </c>
      <c r="E434">
        <v>52</v>
      </c>
      <c r="F434" t="s">
        <v>471</v>
      </c>
      <c r="G434" s="20">
        <v>3</v>
      </c>
      <c r="H434">
        <v>3</v>
      </c>
      <c r="I434">
        <f>57.979+18.616</f>
        <v>76.594999999999999</v>
      </c>
      <c r="J434">
        <v>52.682000000000002</v>
      </c>
      <c r="K434">
        <f>(2.816+3.718+2.526)/3</f>
        <v>3.0199999999999996</v>
      </c>
      <c r="L434" s="8">
        <v>2</v>
      </c>
      <c r="M434" s="8" t="s">
        <v>454</v>
      </c>
      <c r="N434" s="14">
        <v>0</v>
      </c>
    </row>
    <row r="435" spans="1:15" x14ac:dyDescent="0.25">
      <c r="A435" t="s">
        <v>411</v>
      </c>
      <c r="B435" t="s">
        <v>745</v>
      </c>
      <c r="C435" t="s">
        <v>748</v>
      </c>
      <c r="D435" t="s">
        <v>751</v>
      </c>
      <c r="E435">
        <v>53</v>
      </c>
      <c r="F435" t="s">
        <v>472</v>
      </c>
      <c r="G435" s="20">
        <v>3</v>
      </c>
      <c r="H435">
        <v>3</v>
      </c>
      <c r="I435">
        <f>65.01+45.034</f>
        <v>110.04400000000001</v>
      </c>
      <c r="J435">
        <v>44.655000000000001</v>
      </c>
      <c r="K435">
        <f>(1.897+1.486)/2</f>
        <v>1.6915</v>
      </c>
      <c r="L435" s="8">
        <v>1</v>
      </c>
      <c r="M435" s="8" t="s">
        <v>451</v>
      </c>
      <c r="N435" s="14">
        <v>4.9989999999999997</v>
      </c>
    </row>
    <row r="436" spans="1:15" x14ac:dyDescent="0.25">
      <c r="A436" t="s">
        <v>411</v>
      </c>
      <c r="B436" t="s">
        <v>745</v>
      </c>
      <c r="C436" t="s">
        <v>748</v>
      </c>
      <c r="D436" t="s">
        <v>751</v>
      </c>
      <c r="E436">
        <v>57</v>
      </c>
      <c r="F436" t="s">
        <v>759</v>
      </c>
      <c r="G436" s="20">
        <v>1</v>
      </c>
      <c r="H436">
        <v>1</v>
      </c>
      <c r="I436">
        <v>61.911000000000001</v>
      </c>
      <c r="J436">
        <v>100</v>
      </c>
      <c r="K436">
        <v>7.6050000000000004</v>
      </c>
      <c r="L436" s="8">
        <v>2</v>
      </c>
      <c r="M436" s="8" t="s">
        <v>451</v>
      </c>
      <c r="N436" s="14" t="s">
        <v>452</v>
      </c>
    </row>
    <row r="437" spans="1:15" x14ac:dyDescent="0.25">
      <c r="A437" t="s">
        <v>411</v>
      </c>
      <c r="B437" t="s">
        <v>745</v>
      </c>
      <c r="C437" t="s">
        <v>748</v>
      </c>
      <c r="D437" t="s">
        <v>751</v>
      </c>
      <c r="E437">
        <v>60.1</v>
      </c>
      <c r="F437" t="s">
        <v>760</v>
      </c>
      <c r="G437" s="20">
        <v>1</v>
      </c>
      <c r="H437">
        <v>1</v>
      </c>
      <c r="I437">
        <v>12.54</v>
      </c>
      <c r="J437">
        <v>65.599999999999994</v>
      </c>
      <c r="K437">
        <v>10.375999999999999</v>
      </c>
      <c r="L437" s="8">
        <v>0</v>
      </c>
      <c r="M437" s="8" t="s">
        <v>451</v>
      </c>
      <c r="N437" s="14" t="s">
        <v>452</v>
      </c>
      <c r="O437" s="1" t="s">
        <v>758</v>
      </c>
    </row>
    <row r="438" spans="1:15" x14ac:dyDescent="0.25">
      <c r="A438" t="s">
        <v>473</v>
      </c>
      <c r="B438" t="s">
        <v>745</v>
      </c>
      <c r="C438" t="s">
        <v>750</v>
      </c>
      <c r="D438" t="s">
        <v>751</v>
      </c>
      <c r="E438">
        <v>1</v>
      </c>
      <c r="F438" t="s">
        <v>474</v>
      </c>
      <c r="G438" s="20">
        <v>3</v>
      </c>
      <c r="H438">
        <v>3</v>
      </c>
      <c r="I438">
        <f>81.621+28.299</f>
        <v>109.91999999999999</v>
      </c>
      <c r="J438">
        <v>46.844999999999999</v>
      </c>
      <c r="K438">
        <f>(1.954+2.525)/2</f>
        <v>2.2395</v>
      </c>
      <c r="L438" s="8">
        <v>0</v>
      </c>
      <c r="M438" s="8" t="s">
        <v>451</v>
      </c>
      <c r="N438" s="14" t="s">
        <v>452</v>
      </c>
      <c r="O438" s="1" t="s">
        <v>475</v>
      </c>
    </row>
    <row r="439" spans="1:15" x14ac:dyDescent="0.25">
      <c r="A439" t="s">
        <v>473</v>
      </c>
      <c r="B439" t="s">
        <v>745</v>
      </c>
      <c r="C439" t="s">
        <v>750</v>
      </c>
      <c r="D439" t="s">
        <v>751</v>
      </c>
      <c r="E439">
        <v>2</v>
      </c>
      <c r="F439" t="s">
        <v>476</v>
      </c>
      <c r="G439" s="20">
        <v>3</v>
      </c>
      <c r="H439">
        <v>3</v>
      </c>
      <c r="I439">
        <f>42.646+8.645</f>
        <v>51.290999999999997</v>
      </c>
      <c r="J439">
        <v>58.210999999999999</v>
      </c>
      <c r="K439">
        <f>(2.128+1.595)/2</f>
        <v>1.8614999999999999</v>
      </c>
      <c r="L439" s="8">
        <v>1</v>
      </c>
      <c r="M439" s="8" t="s">
        <v>454</v>
      </c>
      <c r="N439" s="14">
        <v>0</v>
      </c>
    </row>
    <row r="440" spans="1:15" x14ac:dyDescent="0.25">
      <c r="A440" t="s">
        <v>473</v>
      </c>
      <c r="B440" t="s">
        <v>745</v>
      </c>
      <c r="C440" t="s">
        <v>750</v>
      </c>
      <c r="D440" t="s">
        <v>751</v>
      </c>
      <c r="E440">
        <v>3</v>
      </c>
      <c r="F440" t="s">
        <v>477</v>
      </c>
      <c r="G440" s="20">
        <v>5</v>
      </c>
      <c r="H440">
        <v>3</v>
      </c>
      <c r="I440">
        <f>53.303+29.413</f>
        <v>82.715999999999994</v>
      </c>
      <c r="J440">
        <v>54.14</v>
      </c>
      <c r="K440">
        <f>(1.789+0.968)/2</f>
        <v>1.3784999999999998</v>
      </c>
      <c r="L440" s="8">
        <v>1</v>
      </c>
      <c r="M440" s="8" t="s">
        <v>451</v>
      </c>
      <c r="N440" s="14">
        <v>5.0789999999999997</v>
      </c>
    </row>
    <row r="441" spans="1:15" x14ac:dyDescent="0.25">
      <c r="A441" t="s">
        <v>473</v>
      </c>
      <c r="B441" t="s">
        <v>745</v>
      </c>
      <c r="C441" t="s">
        <v>750</v>
      </c>
      <c r="D441" t="s">
        <v>751</v>
      </c>
      <c r="E441">
        <v>4</v>
      </c>
      <c r="F441" t="s">
        <v>478</v>
      </c>
      <c r="G441" s="20">
        <v>5</v>
      </c>
      <c r="H441">
        <v>3</v>
      </c>
      <c r="I441">
        <f>73.695+32.33</f>
        <v>106.02499999999999</v>
      </c>
      <c r="J441">
        <v>57.573999999999998</v>
      </c>
      <c r="K441">
        <f>(2.543+4.864+4.811)/3</f>
        <v>4.0726666666666667</v>
      </c>
      <c r="L441" s="8">
        <v>2</v>
      </c>
      <c r="M441" s="8" t="s">
        <v>454</v>
      </c>
      <c r="N441" s="14">
        <v>0</v>
      </c>
    </row>
    <row r="442" spans="1:15" x14ac:dyDescent="0.25">
      <c r="A442" t="s">
        <v>473</v>
      </c>
      <c r="B442" t="s">
        <v>745</v>
      </c>
      <c r="C442" t="s">
        <v>750</v>
      </c>
      <c r="D442" t="s">
        <v>751</v>
      </c>
      <c r="E442">
        <v>5</v>
      </c>
      <c r="F442" t="s">
        <v>479</v>
      </c>
      <c r="G442" s="20">
        <v>5</v>
      </c>
      <c r="H442">
        <v>4</v>
      </c>
      <c r="I442">
        <v>62.645000000000003</v>
      </c>
      <c r="J442">
        <v>28.43</v>
      </c>
      <c r="K442">
        <f>(1.27+2.072)/2</f>
        <v>1.671</v>
      </c>
      <c r="L442" s="8">
        <v>0</v>
      </c>
      <c r="M442" s="8" t="s">
        <v>451</v>
      </c>
      <c r="N442" s="14" t="s">
        <v>452</v>
      </c>
    </row>
    <row r="443" spans="1:15" x14ac:dyDescent="0.25">
      <c r="A443" t="s">
        <v>473</v>
      </c>
      <c r="B443" t="s">
        <v>745</v>
      </c>
      <c r="C443" t="s">
        <v>750</v>
      </c>
      <c r="D443" t="s">
        <v>751</v>
      </c>
      <c r="E443">
        <v>6</v>
      </c>
      <c r="F443" t="s">
        <v>480</v>
      </c>
      <c r="G443" s="20">
        <v>5</v>
      </c>
      <c r="H443">
        <v>3</v>
      </c>
      <c r="I443">
        <f>64.39+33.258+3.338</f>
        <v>100.98599999999999</v>
      </c>
      <c r="J443">
        <v>41.134</v>
      </c>
      <c r="K443">
        <f>(6.095+5.038)/2</f>
        <v>5.5664999999999996</v>
      </c>
      <c r="L443" s="8">
        <v>2</v>
      </c>
      <c r="M443" s="8" t="s">
        <v>451</v>
      </c>
      <c r="N443" s="14">
        <v>4.399</v>
      </c>
    </row>
    <row r="444" spans="1:15" x14ac:dyDescent="0.25">
      <c r="A444" t="s">
        <v>473</v>
      </c>
      <c r="B444" t="s">
        <v>745</v>
      </c>
      <c r="C444" t="s">
        <v>750</v>
      </c>
      <c r="D444" t="s">
        <v>751</v>
      </c>
      <c r="E444">
        <v>7</v>
      </c>
      <c r="F444" t="s">
        <v>481</v>
      </c>
      <c r="G444" s="20">
        <v>3</v>
      </c>
      <c r="H444">
        <v>4</v>
      </c>
      <c r="I444">
        <f>72.921+51.44</f>
        <v>124.361</v>
      </c>
      <c r="J444">
        <v>22.085000000000001</v>
      </c>
      <c r="K444">
        <f>(1.337+2.543+1.37)/3</f>
        <v>1.75</v>
      </c>
      <c r="L444" s="8">
        <v>1</v>
      </c>
      <c r="M444" s="8" t="s">
        <v>454</v>
      </c>
      <c r="N444" s="14">
        <v>0</v>
      </c>
    </row>
    <row r="445" spans="1:15" x14ac:dyDescent="0.25">
      <c r="A445" t="s">
        <v>473</v>
      </c>
      <c r="B445" t="s">
        <v>745</v>
      </c>
      <c r="C445" t="s">
        <v>750</v>
      </c>
      <c r="D445" t="s">
        <v>751</v>
      </c>
      <c r="E445">
        <v>8</v>
      </c>
      <c r="F445" t="s">
        <v>482</v>
      </c>
      <c r="G445" s="20">
        <v>2</v>
      </c>
      <c r="H445">
        <v>2</v>
      </c>
      <c r="I445">
        <v>32.722999999999999</v>
      </c>
      <c r="J445">
        <v>73.218000000000004</v>
      </c>
      <c r="K445">
        <v>4.5599999999999996</v>
      </c>
      <c r="L445" s="8">
        <v>0</v>
      </c>
      <c r="M445" s="8" t="s">
        <v>451</v>
      </c>
      <c r="N445" s="14" t="s">
        <v>452</v>
      </c>
    </row>
    <row r="446" spans="1:15" x14ac:dyDescent="0.25">
      <c r="A446" t="s">
        <v>473</v>
      </c>
      <c r="B446" t="s">
        <v>745</v>
      </c>
      <c r="C446" t="s">
        <v>750</v>
      </c>
      <c r="D446" t="s">
        <v>751</v>
      </c>
      <c r="E446">
        <v>9</v>
      </c>
      <c r="F446" t="s">
        <v>483</v>
      </c>
      <c r="G446" s="20">
        <v>3</v>
      </c>
      <c r="H446">
        <v>3</v>
      </c>
      <c r="I446">
        <f>58.814+19.378+4.335</f>
        <v>82.527000000000001</v>
      </c>
      <c r="J446">
        <v>48.363</v>
      </c>
      <c r="K446">
        <f>(3.593+3.388)/2</f>
        <v>3.4904999999999999</v>
      </c>
      <c r="L446" s="8">
        <v>2</v>
      </c>
      <c r="M446" s="8" t="s">
        <v>454</v>
      </c>
      <c r="N446" s="14">
        <v>0</v>
      </c>
    </row>
    <row r="447" spans="1:15" x14ac:dyDescent="0.25">
      <c r="A447" t="s">
        <v>473</v>
      </c>
      <c r="B447" t="s">
        <v>745</v>
      </c>
      <c r="C447" t="s">
        <v>750</v>
      </c>
      <c r="D447" t="s">
        <v>751</v>
      </c>
      <c r="E447">
        <v>10</v>
      </c>
      <c r="F447" t="s">
        <v>484</v>
      </c>
      <c r="G447" s="20">
        <v>3</v>
      </c>
      <c r="H447">
        <v>3</v>
      </c>
      <c r="I447">
        <f>9.645+102.989</f>
        <v>112.634</v>
      </c>
      <c r="J447">
        <v>57.63</v>
      </c>
      <c r="K447">
        <f>(2.826+1.493)/2</f>
        <v>2.1595</v>
      </c>
      <c r="L447" s="8">
        <v>1</v>
      </c>
      <c r="M447" s="8" t="s">
        <v>451</v>
      </c>
      <c r="N447" s="14">
        <v>26.521000000000001</v>
      </c>
    </row>
    <row r="448" spans="1:15" x14ac:dyDescent="0.25">
      <c r="A448" t="s">
        <v>473</v>
      </c>
      <c r="B448" t="s">
        <v>745</v>
      </c>
      <c r="C448" t="s">
        <v>750</v>
      </c>
      <c r="D448" t="s">
        <v>751</v>
      </c>
      <c r="E448">
        <v>11</v>
      </c>
      <c r="F448" t="s">
        <v>485</v>
      </c>
      <c r="G448" s="20">
        <v>3</v>
      </c>
      <c r="H448">
        <v>2</v>
      </c>
      <c r="I448">
        <v>49.546999999999997</v>
      </c>
      <c r="J448">
        <v>66.048000000000002</v>
      </c>
      <c r="K448">
        <f>(2.565+2.14)/2</f>
        <v>2.3525</v>
      </c>
      <c r="L448" s="8">
        <v>0</v>
      </c>
      <c r="M448" s="8" t="s">
        <v>451</v>
      </c>
      <c r="N448" s="14" t="s">
        <v>452</v>
      </c>
      <c r="O448" s="1" t="s">
        <v>158</v>
      </c>
    </row>
    <row r="449" spans="1:15" x14ac:dyDescent="0.25">
      <c r="A449" t="s">
        <v>473</v>
      </c>
      <c r="B449" t="s">
        <v>745</v>
      </c>
      <c r="C449" t="s">
        <v>750</v>
      </c>
      <c r="D449" t="s">
        <v>751</v>
      </c>
      <c r="E449">
        <v>12</v>
      </c>
      <c r="F449" t="s">
        <v>486</v>
      </c>
      <c r="G449" s="20">
        <v>3</v>
      </c>
      <c r="H449">
        <v>2</v>
      </c>
      <c r="I449">
        <v>48.780999999999999</v>
      </c>
      <c r="J449">
        <v>72.757000000000005</v>
      </c>
      <c r="K449">
        <f>(2.545+3.394)/2</f>
        <v>2.9695</v>
      </c>
      <c r="L449" s="8">
        <v>0</v>
      </c>
      <c r="M449" s="8" t="s">
        <v>451</v>
      </c>
      <c r="N449" s="14" t="s">
        <v>452</v>
      </c>
      <c r="O449" s="1" t="s">
        <v>158</v>
      </c>
    </row>
    <row r="450" spans="1:15" x14ac:dyDescent="0.25">
      <c r="A450" t="s">
        <v>473</v>
      </c>
      <c r="B450" t="s">
        <v>745</v>
      </c>
      <c r="C450" t="s">
        <v>750</v>
      </c>
      <c r="D450" t="s">
        <v>751</v>
      </c>
      <c r="E450">
        <v>13</v>
      </c>
      <c r="F450" t="s">
        <v>487</v>
      </c>
      <c r="G450" s="20">
        <v>3</v>
      </c>
      <c r="H450">
        <v>4</v>
      </c>
      <c r="I450">
        <f>81.771+39.71</f>
        <v>121.48099999999999</v>
      </c>
      <c r="J450">
        <v>28.372</v>
      </c>
      <c r="K450">
        <f>(2.239+2.228+1.946+6.539)/4</f>
        <v>3.238</v>
      </c>
      <c r="L450" s="8">
        <v>2</v>
      </c>
      <c r="M450" s="8" t="s">
        <v>454</v>
      </c>
      <c r="N450" s="14">
        <v>0</v>
      </c>
      <c r="O450" s="1" t="s">
        <v>158</v>
      </c>
    </row>
    <row r="451" spans="1:15" x14ac:dyDescent="0.25">
      <c r="A451" t="s">
        <v>473</v>
      </c>
      <c r="B451" t="s">
        <v>745</v>
      </c>
      <c r="C451" t="s">
        <v>750</v>
      </c>
      <c r="D451" t="s">
        <v>751</v>
      </c>
      <c r="E451">
        <v>14</v>
      </c>
      <c r="F451" t="s">
        <v>488</v>
      </c>
      <c r="G451" s="20">
        <v>2</v>
      </c>
      <c r="H451">
        <v>3</v>
      </c>
      <c r="I451">
        <f>48.817+7.202</f>
        <v>56.018999999999998</v>
      </c>
      <c r="J451">
        <v>45.241</v>
      </c>
      <c r="K451">
        <f>(6.354+3.703)/2</f>
        <v>5.0285000000000002</v>
      </c>
      <c r="L451" s="8">
        <v>2</v>
      </c>
      <c r="M451" s="8" t="s">
        <v>454</v>
      </c>
      <c r="N451" s="14">
        <v>0</v>
      </c>
    </row>
    <row r="452" spans="1:15" x14ac:dyDescent="0.25">
      <c r="A452" t="s">
        <v>473</v>
      </c>
      <c r="B452" t="s">
        <v>745</v>
      </c>
      <c r="C452" t="s">
        <v>750</v>
      </c>
      <c r="D452" t="s">
        <v>751</v>
      </c>
      <c r="E452">
        <v>15</v>
      </c>
      <c r="F452" t="s">
        <v>489</v>
      </c>
      <c r="G452" s="20">
        <v>2</v>
      </c>
      <c r="H452">
        <v>2</v>
      </c>
      <c r="I452">
        <f>42.59+4.017</f>
        <v>46.607000000000006</v>
      </c>
      <c r="J452">
        <v>76.203000000000003</v>
      </c>
      <c r="K452">
        <f>(6.449+6.899)/2</f>
        <v>6.6739999999999995</v>
      </c>
      <c r="L452" s="8">
        <v>1</v>
      </c>
      <c r="M452" s="8" t="s">
        <v>451</v>
      </c>
      <c r="N452" s="14">
        <v>3.927</v>
      </c>
    </row>
    <row r="453" spans="1:15" x14ac:dyDescent="0.25">
      <c r="A453" t="s">
        <v>473</v>
      </c>
      <c r="B453" t="s">
        <v>745</v>
      </c>
      <c r="C453" t="s">
        <v>750</v>
      </c>
      <c r="D453" t="s">
        <v>751</v>
      </c>
      <c r="E453">
        <v>16</v>
      </c>
      <c r="F453" t="s">
        <v>490</v>
      </c>
      <c r="G453" s="20">
        <v>2</v>
      </c>
      <c r="H453">
        <v>2</v>
      </c>
      <c r="I453">
        <f>44.832+7.184</f>
        <v>52.015999999999998</v>
      </c>
      <c r="J453">
        <v>82.986000000000004</v>
      </c>
      <c r="K453">
        <f>(3.045+3.662+4.513)/3</f>
        <v>3.7399999999999998</v>
      </c>
      <c r="L453" s="8">
        <v>2</v>
      </c>
      <c r="M453" s="8" t="s">
        <v>454</v>
      </c>
      <c r="N453" s="14">
        <v>0</v>
      </c>
    </row>
    <row r="454" spans="1:15" x14ac:dyDescent="0.25">
      <c r="A454" t="s">
        <v>473</v>
      </c>
      <c r="B454" t="s">
        <v>745</v>
      </c>
      <c r="C454" t="s">
        <v>750</v>
      </c>
      <c r="D454" t="s">
        <v>751</v>
      </c>
      <c r="E454">
        <v>17</v>
      </c>
      <c r="F454" t="s">
        <v>491</v>
      </c>
      <c r="G454" s="20">
        <v>3</v>
      </c>
      <c r="H454">
        <v>3</v>
      </c>
      <c r="I454">
        <f>54.557+19.557+26.387</f>
        <v>100.501</v>
      </c>
      <c r="J454">
        <v>50</v>
      </c>
      <c r="K454">
        <f>(3.553+2.629)/2</f>
        <v>3.0910000000000002</v>
      </c>
      <c r="L454" s="8">
        <v>3</v>
      </c>
      <c r="M454" s="8" t="s">
        <v>451</v>
      </c>
      <c r="N454" s="14">
        <v>3.2559999999999998</v>
      </c>
    </row>
    <row r="455" spans="1:15" x14ac:dyDescent="0.25">
      <c r="A455" t="s">
        <v>473</v>
      </c>
      <c r="B455" t="s">
        <v>745</v>
      </c>
      <c r="C455" t="s">
        <v>750</v>
      </c>
      <c r="D455" t="s">
        <v>751</v>
      </c>
      <c r="E455">
        <v>18</v>
      </c>
      <c r="F455" t="s">
        <v>492</v>
      </c>
      <c r="G455" s="20">
        <v>3</v>
      </c>
      <c r="H455">
        <v>4</v>
      </c>
      <c r="I455">
        <f>48.044+37.118+23.44</f>
        <v>108.602</v>
      </c>
      <c r="J455">
        <v>24.073</v>
      </c>
      <c r="K455">
        <f>(2.731+1.786)/2</f>
        <v>2.2584999999999997</v>
      </c>
      <c r="L455" s="8">
        <v>3</v>
      </c>
      <c r="M455" s="8" t="s">
        <v>454</v>
      </c>
      <c r="N455" s="14">
        <v>0</v>
      </c>
    </row>
    <row r="456" spans="1:15" x14ac:dyDescent="0.25">
      <c r="A456" t="s">
        <v>473</v>
      </c>
      <c r="B456" t="s">
        <v>745</v>
      </c>
      <c r="C456" t="s">
        <v>750</v>
      </c>
      <c r="D456" t="s">
        <v>751</v>
      </c>
      <c r="E456">
        <v>19</v>
      </c>
      <c r="F456" t="s">
        <v>493</v>
      </c>
      <c r="G456" s="20">
        <v>3</v>
      </c>
      <c r="H456">
        <v>4</v>
      </c>
      <c r="I456">
        <f>39.611+36.004</f>
        <v>75.614999999999995</v>
      </c>
      <c r="J456">
        <v>22.524000000000001</v>
      </c>
      <c r="K456">
        <f>(2.856+2.89+2.363)/3</f>
        <v>2.7029999999999998</v>
      </c>
      <c r="L456" s="8">
        <v>1</v>
      </c>
      <c r="M456" s="8" t="s">
        <v>454</v>
      </c>
      <c r="N456" s="14">
        <v>0</v>
      </c>
    </row>
    <row r="457" spans="1:15" x14ac:dyDescent="0.25">
      <c r="A457" t="s">
        <v>473</v>
      </c>
      <c r="B457" t="s">
        <v>745</v>
      </c>
      <c r="C457" t="s">
        <v>750</v>
      </c>
      <c r="D457" t="s">
        <v>751</v>
      </c>
      <c r="E457">
        <v>20</v>
      </c>
      <c r="F457" t="s">
        <v>494</v>
      </c>
      <c r="G457" s="20">
        <v>3</v>
      </c>
      <c r="H457">
        <v>4</v>
      </c>
      <c r="I457">
        <f>61.786+38.94+17.564</f>
        <v>118.28999999999999</v>
      </c>
      <c r="J457">
        <v>30.731999999999999</v>
      </c>
      <c r="K457">
        <f>(2.648+2.648+3.127)/3</f>
        <v>2.8076666666666665</v>
      </c>
      <c r="L457" s="8">
        <v>3</v>
      </c>
      <c r="M457" s="8" t="s">
        <v>454</v>
      </c>
      <c r="N457" s="14">
        <v>0</v>
      </c>
    </row>
    <row r="458" spans="1:15" x14ac:dyDescent="0.25">
      <c r="A458" t="s">
        <v>473</v>
      </c>
      <c r="B458" t="s">
        <v>745</v>
      </c>
      <c r="C458" t="s">
        <v>750</v>
      </c>
      <c r="D458" t="s">
        <v>751</v>
      </c>
      <c r="E458">
        <v>21</v>
      </c>
      <c r="F458" t="s">
        <v>495</v>
      </c>
      <c r="G458" s="20">
        <v>3</v>
      </c>
      <c r="H458">
        <v>4</v>
      </c>
      <c r="I458">
        <f>44.042+15.446</f>
        <v>59.488</v>
      </c>
      <c r="J458">
        <v>23.477</v>
      </c>
      <c r="K458">
        <f>(1.923+3.488+1.486)/3</f>
        <v>2.2989999999999999</v>
      </c>
      <c r="L458" s="8">
        <v>2</v>
      </c>
      <c r="M458" s="8" t="s">
        <v>454</v>
      </c>
      <c r="N458" s="14">
        <v>0</v>
      </c>
    </row>
    <row r="459" spans="1:15" x14ac:dyDescent="0.25">
      <c r="A459" t="s">
        <v>473</v>
      </c>
      <c r="B459" t="s">
        <v>745</v>
      </c>
      <c r="C459" t="s">
        <v>750</v>
      </c>
      <c r="D459" t="s">
        <v>751</v>
      </c>
      <c r="E459">
        <v>22</v>
      </c>
      <c r="F459" t="s">
        <v>496</v>
      </c>
      <c r="G459" s="20">
        <v>3</v>
      </c>
      <c r="H459">
        <v>4</v>
      </c>
      <c r="I459">
        <v>57.987000000000002</v>
      </c>
      <c r="J459">
        <v>13.569000000000001</v>
      </c>
      <c r="K459">
        <f>(3.016+2.731)/2</f>
        <v>2.8734999999999999</v>
      </c>
      <c r="L459" s="8">
        <v>1</v>
      </c>
      <c r="M459" s="8" t="s">
        <v>451</v>
      </c>
      <c r="N459" s="14">
        <v>13.53</v>
      </c>
    </row>
    <row r="460" spans="1:15" x14ac:dyDescent="0.25">
      <c r="A460" t="s">
        <v>473</v>
      </c>
      <c r="B460" t="s">
        <v>745</v>
      </c>
      <c r="C460" t="s">
        <v>750</v>
      </c>
      <c r="D460" t="s">
        <v>751</v>
      </c>
      <c r="E460">
        <v>23</v>
      </c>
      <c r="F460" t="s">
        <v>497</v>
      </c>
      <c r="G460" s="20">
        <v>3</v>
      </c>
      <c r="H460">
        <v>3</v>
      </c>
      <c r="I460">
        <v>97.989000000000004</v>
      </c>
      <c r="J460">
        <v>36.393999999999998</v>
      </c>
      <c r="K460">
        <f>(1.937+1.463)/2</f>
        <v>1.7000000000000002</v>
      </c>
      <c r="L460" s="8">
        <v>0</v>
      </c>
      <c r="M460" s="8" t="s">
        <v>451</v>
      </c>
      <c r="N460" s="14" t="s">
        <v>452</v>
      </c>
      <c r="O460" s="1" t="s">
        <v>65</v>
      </c>
    </row>
    <row r="461" spans="1:15" x14ac:dyDescent="0.25">
      <c r="A461" t="s">
        <v>473</v>
      </c>
      <c r="B461" t="s">
        <v>745</v>
      </c>
      <c r="C461" t="s">
        <v>750</v>
      </c>
      <c r="D461" t="s">
        <v>751</v>
      </c>
      <c r="E461">
        <v>24</v>
      </c>
      <c r="F461" t="s">
        <v>498</v>
      </c>
      <c r="G461" s="20">
        <v>3</v>
      </c>
      <c r="H461">
        <v>4</v>
      </c>
      <c r="I461">
        <f>99.684+20.117+10.135</f>
        <v>129.93600000000001</v>
      </c>
      <c r="J461">
        <v>21.811</v>
      </c>
      <c r="K461">
        <f>(2.594+1.16+1.954)/2</f>
        <v>2.8539999999999996</v>
      </c>
      <c r="L461" s="8">
        <v>2</v>
      </c>
      <c r="M461" s="8" t="s">
        <v>454</v>
      </c>
      <c r="N461" s="14">
        <v>0</v>
      </c>
    </row>
    <row r="462" spans="1:15" x14ac:dyDescent="0.25">
      <c r="A462" t="s">
        <v>473</v>
      </c>
      <c r="B462" t="s">
        <v>745</v>
      </c>
      <c r="C462" t="s">
        <v>750</v>
      </c>
      <c r="D462" t="s">
        <v>751</v>
      </c>
      <c r="E462">
        <v>28</v>
      </c>
      <c r="F462" t="s">
        <v>501</v>
      </c>
      <c r="G462" s="20">
        <v>3</v>
      </c>
      <c r="H462">
        <v>4</v>
      </c>
      <c r="I462">
        <v>80.858000000000004</v>
      </c>
      <c r="J462">
        <v>26.344999999999999</v>
      </c>
      <c r="K462">
        <f>(1.786+1.607)/2</f>
        <v>1.6964999999999999</v>
      </c>
      <c r="L462" s="8">
        <v>1</v>
      </c>
      <c r="M462" s="8" t="s">
        <v>454</v>
      </c>
      <c r="N462" s="14">
        <v>0</v>
      </c>
    </row>
    <row r="463" spans="1:15" x14ac:dyDescent="0.25">
      <c r="A463" t="s">
        <v>473</v>
      </c>
      <c r="B463" t="s">
        <v>745</v>
      </c>
      <c r="C463" t="s">
        <v>750</v>
      </c>
      <c r="D463" t="s">
        <v>751</v>
      </c>
      <c r="E463">
        <v>29</v>
      </c>
      <c r="F463" t="s">
        <v>502</v>
      </c>
      <c r="G463" s="20">
        <v>3</v>
      </c>
      <c r="H463">
        <v>4</v>
      </c>
      <c r="I463">
        <f>88.087+38.341</f>
        <v>126.428</v>
      </c>
      <c r="J463">
        <v>29.306999999999999</v>
      </c>
      <c r="K463">
        <f>(2.382+2.648+1.448)/3</f>
        <v>2.1593333333333331</v>
      </c>
      <c r="L463" s="8">
        <v>1</v>
      </c>
      <c r="M463" s="8" t="s">
        <v>454</v>
      </c>
      <c r="N463" s="14">
        <v>0</v>
      </c>
      <c r="O463" s="1" t="s">
        <v>158</v>
      </c>
    </row>
    <row r="464" spans="1:15" x14ac:dyDescent="0.25">
      <c r="A464" t="s">
        <v>473</v>
      </c>
      <c r="B464" t="s">
        <v>745</v>
      </c>
      <c r="C464" t="s">
        <v>750</v>
      </c>
      <c r="D464" t="s">
        <v>751</v>
      </c>
      <c r="E464">
        <v>30</v>
      </c>
      <c r="F464" t="s">
        <v>503</v>
      </c>
      <c r="G464" s="20">
        <v>3</v>
      </c>
      <c r="H464">
        <v>4</v>
      </c>
      <c r="I464">
        <f>150.956+15.74+34.424+61.202</f>
        <v>262.322</v>
      </c>
      <c r="J464">
        <v>31.934999999999999</v>
      </c>
      <c r="K464">
        <f>(1.641+0.743+1.783)/3</f>
        <v>1.389</v>
      </c>
      <c r="L464" s="8">
        <v>3</v>
      </c>
      <c r="M464" s="8" t="s">
        <v>454</v>
      </c>
      <c r="N464" s="14">
        <v>0</v>
      </c>
      <c r="O464" s="1" t="s">
        <v>158</v>
      </c>
    </row>
    <row r="465" spans="1:15" x14ac:dyDescent="0.25">
      <c r="A465" t="s">
        <v>473</v>
      </c>
      <c r="B465" t="s">
        <v>745</v>
      </c>
      <c r="C465" t="s">
        <v>750</v>
      </c>
      <c r="D465" t="s">
        <v>751</v>
      </c>
      <c r="E465">
        <v>31</v>
      </c>
      <c r="F465" t="s">
        <v>504</v>
      </c>
      <c r="G465" s="20">
        <v>3</v>
      </c>
      <c r="H465">
        <v>3</v>
      </c>
      <c r="I465">
        <f>25.224+54.565</f>
        <v>79.789000000000001</v>
      </c>
      <c r="J465">
        <v>61.15</v>
      </c>
      <c r="K465">
        <f>(2.72+2.128)/2</f>
        <v>2.4240000000000004</v>
      </c>
      <c r="L465" s="8">
        <v>1</v>
      </c>
      <c r="M465" s="8" t="s">
        <v>451</v>
      </c>
      <c r="N465" s="14">
        <v>13.446999999999999</v>
      </c>
      <c r="O465" s="1" t="s">
        <v>39</v>
      </c>
    </row>
    <row r="466" spans="1:15" x14ac:dyDescent="0.25">
      <c r="A466" t="s">
        <v>473</v>
      </c>
      <c r="B466" t="s">
        <v>745</v>
      </c>
      <c r="C466" t="s">
        <v>750</v>
      </c>
      <c r="D466" t="s">
        <v>751</v>
      </c>
      <c r="E466">
        <v>32</v>
      </c>
      <c r="F466" t="s">
        <v>505</v>
      </c>
      <c r="G466" s="20">
        <v>3</v>
      </c>
      <c r="H466">
        <v>3</v>
      </c>
      <c r="I466">
        <v>63.774000000000001</v>
      </c>
      <c r="J466">
        <v>40.786999999999999</v>
      </c>
      <c r="K466">
        <f>(2.297+1.974)/2</f>
        <v>2.1355</v>
      </c>
      <c r="L466" s="8">
        <v>0</v>
      </c>
      <c r="M466" s="8" t="s">
        <v>451</v>
      </c>
      <c r="N466" s="14" t="s">
        <v>452</v>
      </c>
    </row>
    <row r="467" spans="1:15" x14ac:dyDescent="0.25">
      <c r="A467" t="s">
        <v>473</v>
      </c>
      <c r="B467" t="s">
        <v>745</v>
      </c>
      <c r="C467" t="s">
        <v>750</v>
      </c>
      <c r="D467" t="s">
        <v>751</v>
      </c>
      <c r="E467">
        <v>33</v>
      </c>
      <c r="F467" t="s">
        <v>506</v>
      </c>
      <c r="G467" s="20">
        <v>3</v>
      </c>
      <c r="H467">
        <v>3</v>
      </c>
      <c r="I467">
        <v>75.622</v>
      </c>
      <c r="J467">
        <v>45.311999999999998</v>
      </c>
      <c r="K467">
        <f>(1.961+1.753)/2</f>
        <v>1.857</v>
      </c>
      <c r="L467" s="8">
        <v>0</v>
      </c>
      <c r="M467" s="8" t="s">
        <v>451</v>
      </c>
      <c r="N467" s="14" t="s">
        <v>452</v>
      </c>
    </row>
    <row r="468" spans="1:15" x14ac:dyDescent="0.25">
      <c r="A468" t="s">
        <v>473</v>
      </c>
      <c r="B468" t="s">
        <v>745</v>
      </c>
      <c r="C468" t="s">
        <v>750</v>
      </c>
      <c r="D468" t="s">
        <v>751</v>
      </c>
      <c r="E468">
        <v>34</v>
      </c>
      <c r="F468" t="s">
        <v>507</v>
      </c>
      <c r="G468" s="20">
        <v>3</v>
      </c>
      <c r="H468">
        <v>3</v>
      </c>
      <c r="I468">
        <f>78.425+40.566+6.076</f>
        <v>125.06699999999999</v>
      </c>
      <c r="J468">
        <v>51.164000000000001</v>
      </c>
      <c r="K468">
        <f>(4.414+2.297)/2</f>
        <v>3.3555000000000001</v>
      </c>
      <c r="L468" s="8">
        <v>4</v>
      </c>
      <c r="M468" s="8" t="s">
        <v>454</v>
      </c>
      <c r="N468" s="14">
        <v>0</v>
      </c>
    </row>
    <row r="469" spans="1:15" x14ac:dyDescent="0.25">
      <c r="A469" t="s">
        <v>473</v>
      </c>
      <c r="B469" t="s">
        <v>745</v>
      </c>
      <c r="C469" t="s">
        <v>750</v>
      </c>
      <c r="D469" t="s">
        <v>751</v>
      </c>
      <c r="E469">
        <v>35</v>
      </c>
      <c r="F469" t="s">
        <v>508</v>
      </c>
      <c r="G469" s="20">
        <v>3</v>
      </c>
      <c r="H469">
        <v>4</v>
      </c>
      <c r="I469">
        <f>113.186+34.334+9.206</f>
        <v>156.726</v>
      </c>
      <c r="J469">
        <v>37.972999999999999</v>
      </c>
      <c r="K469">
        <f>(2.69+3.468)/2</f>
        <v>3.0789999999999997</v>
      </c>
      <c r="L469" s="8">
        <v>2</v>
      </c>
      <c r="M469" s="8" t="s">
        <v>454</v>
      </c>
      <c r="N469" s="14">
        <v>0</v>
      </c>
      <c r="O469" s="1" t="s">
        <v>158</v>
      </c>
    </row>
    <row r="470" spans="1:15" x14ac:dyDescent="0.25">
      <c r="A470" t="s">
        <v>473</v>
      </c>
      <c r="B470" t="s">
        <v>745</v>
      </c>
      <c r="C470" t="s">
        <v>750</v>
      </c>
      <c r="D470" t="s">
        <v>751</v>
      </c>
      <c r="E470">
        <v>36</v>
      </c>
      <c r="F470" t="s">
        <v>509</v>
      </c>
      <c r="G470" s="20">
        <v>3</v>
      </c>
      <c r="H470">
        <v>3</v>
      </c>
      <c r="I470">
        <v>80.980999999999995</v>
      </c>
      <c r="J470">
        <v>56.512</v>
      </c>
      <c r="K470">
        <f>(2.297+2.363)/2</f>
        <v>2.33</v>
      </c>
      <c r="L470" s="8">
        <v>0</v>
      </c>
      <c r="M470" s="8" t="s">
        <v>451</v>
      </c>
      <c r="N470" s="14" t="s">
        <v>452</v>
      </c>
    </row>
    <row r="471" spans="1:15" x14ac:dyDescent="0.25">
      <c r="A471" t="s">
        <v>473</v>
      </c>
      <c r="B471" t="s">
        <v>745</v>
      </c>
      <c r="C471" t="s">
        <v>750</v>
      </c>
      <c r="D471" t="s">
        <v>751</v>
      </c>
      <c r="E471">
        <v>37</v>
      </c>
      <c r="F471" t="s">
        <v>510</v>
      </c>
      <c r="G471" s="20">
        <v>2</v>
      </c>
      <c r="H471">
        <v>3</v>
      </c>
      <c r="I471">
        <v>44.180999999999997</v>
      </c>
      <c r="J471">
        <v>54.399000000000001</v>
      </c>
      <c r="K471">
        <f>(7.015+7.694)/2</f>
        <v>7.3544999999999998</v>
      </c>
      <c r="L471" s="8">
        <v>1</v>
      </c>
      <c r="M471" s="8" t="s">
        <v>454</v>
      </c>
      <c r="N471" s="14">
        <v>0</v>
      </c>
      <c r="O471" s="1" t="s">
        <v>39</v>
      </c>
    </row>
    <row r="472" spans="1:15" x14ac:dyDescent="0.25">
      <c r="A472" t="s">
        <v>473</v>
      </c>
      <c r="B472" t="s">
        <v>745</v>
      </c>
      <c r="C472" t="s">
        <v>750</v>
      </c>
      <c r="D472" t="s">
        <v>751</v>
      </c>
      <c r="E472">
        <v>38</v>
      </c>
      <c r="F472" t="s">
        <v>511</v>
      </c>
      <c r="G472" s="20">
        <v>2</v>
      </c>
      <c r="H472">
        <v>3</v>
      </c>
      <c r="I472">
        <f>55.349+23.885+18.249</f>
        <v>97.48299999999999</v>
      </c>
      <c r="J472">
        <v>57.612000000000002</v>
      </c>
      <c r="K472">
        <v>7.6669999999999998</v>
      </c>
      <c r="L472" s="8">
        <v>3</v>
      </c>
      <c r="M472" s="8" t="s">
        <v>454</v>
      </c>
      <c r="N472" s="14">
        <v>0</v>
      </c>
      <c r="O472" s="1" t="s">
        <v>39</v>
      </c>
    </row>
    <row r="473" spans="1:15" x14ac:dyDescent="0.25">
      <c r="A473" t="s">
        <v>473</v>
      </c>
      <c r="B473" t="s">
        <v>745</v>
      </c>
      <c r="C473" t="s">
        <v>750</v>
      </c>
      <c r="D473" t="s">
        <v>751</v>
      </c>
      <c r="E473">
        <v>39</v>
      </c>
      <c r="F473" t="s">
        <v>512</v>
      </c>
      <c r="G473" s="20">
        <v>3</v>
      </c>
      <c r="H473">
        <v>4</v>
      </c>
      <c r="I473">
        <f>87.202+17.129</f>
        <v>104.331</v>
      </c>
      <c r="J473">
        <v>47.387</v>
      </c>
      <c r="K473">
        <f>(1.37+1.329)/2</f>
        <v>1.3494999999999999</v>
      </c>
      <c r="L473" s="8">
        <v>2</v>
      </c>
      <c r="M473" s="8" t="s">
        <v>451</v>
      </c>
      <c r="N473" s="14">
        <v>2.1150000000000002</v>
      </c>
      <c r="O473" s="1" t="s">
        <v>158</v>
      </c>
    </row>
    <row r="474" spans="1:15" x14ac:dyDescent="0.25">
      <c r="A474" t="s">
        <v>473</v>
      </c>
      <c r="B474" t="s">
        <v>745</v>
      </c>
      <c r="C474" t="s">
        <v>750</v>
      </c>
      <c r="D474" t="s">
        <v>751</v>
      </c>
      <c r="E474">
        <v>40</v>
      </c>
      <c r="F474" t="s">
        <v>513</v>
      </c>
      <c r="G474" s="20">
        <v>3</v>
      </c>
      <c r="H474">
        <v>3</v>
      </c>
      <c r="I474">
        <f>100.551+36.641</f>
        <v>137.19200000000001</v>
      </c>
      <c r="J474">
        <v>55.179000000000002</v>
      </c>
      <c r="K474">
        <f>(3.891+3.846)/2</f>
        <v>3.8685</v>
      </c>
      <c r="L474" s="8">
        <v>1</v>
      </c>
      <c r="M474" s="8" t="s">
        <v>454</v>
      </c>
      <c r="N474" s="14">
        <v>0</v>
      </c>
    </row>
    <row r="475" spans="1:15" x14ac:dyDescent="0.25">
      <c r="A475" t="s">
        <v>473</v>
      </c>
      <c r="B475" t="s">
        <v>745</v>
      </c>
      <c r="C475" t="s">
        <v>750</v>
      </c>
      <c r="D475" t="s">
        <v>751</v>
      </c>
      <c r="E475">
        <v>41</v>
      </c>
      <c r="F475" t="s">
        <v>514</v>
      </c>
      <c r="G475" s="20">
        <v>3</v>
      </c>
      <c r="H475">
        <v>3</v>
      </c>
      <c r="I475">
        <f>58.597+6.829</f>
        <v>65.426000000000002</v>
      </c>
      <c r="J475">
        <v>50.405000000000001</v>
      </c>
      <c r="K475">
        <f>(3.322+3.823+3.197)/3</f>
        <v>3.4473333333333329</v>
      </c>
      <c r="L475" s="8">
        <v>1</v>
      </c>
      <c r="M475" s="8" t="s">
        <v>454</v>
      </c>
      <c r="N475" s="14">
        <v>0</v>
      </c>
    </row>
    <row r="476" spans="1:15" x14ac:dyDescent="0.25">
      <c r="A476" t="s">
        <v>473</v>
      </c>
      <c r="B476" t="s">
        <v>745</v>
      </c>
      <c r="C476" t="s">
        <v>750</v>
      </c>
      <c r="D476" t="s">
        <v>751</v>
      </c>
      <c r="E476">
        <v>42</v>
      </c>
      <c r="F476" t="s">
        <v>515</v>
      </c>
      <c r="G476" s="20">
        <v>3</v>
      </c>
      <c r="H476">
        <v>3</v>
      </c>
      <c r="I476">
        <v>107.913</v>
      </c>
      <c r="J476">
        <v>63.823</v>
      </c>
      <c r="K476">
        <f>(2.127+2.395)/2</f>
        <v>2.2610000000000001</v>
      </c>
      <c r="L476" s="8">
        <v>0</v>
      </c>
      <c r="M476" s="8" t="s">
        <v>451</v>
      </c>
      <c r="N476" s="14" t="s">
        <v>452</v>
      </c>
    </row>
    <row r="477" spans="1:15" x14ac:dyDescent="0.25">
      <c r="A477" t="s">
        <v>473</v>
      </c>
      <c r="B477" t="s">
        <v>745</v>
      </c>
      <c r="C477" t="s">
        <v>750</v>
      </c>
      <c r="D477" t="s">
        <v>751</v>
      </c>
      <c r="E477">
        <v>43</v>
      </c>
      <c r="F477" t="s">
        <v>516</v>
      </c>
      <c r="G477" s="20">
        <v>3</v>
      </c>
      <c r="H477">
        <v>3</v>
      </c>
      <c r="I477">
        <v>63.936</v>
      </c>
      <c r="J477">
        <v>62.92</v>
      </c>
      <c r="K477">
        <f>(1.762+1.576)/2</f>
        <v>1.669</v>
      </c>
      <c r="L477" s="8">
        <v>0</v>
      </c>
      <c r="M477" s="8" t="s">
        <v>451</v>
      </c>
      <c r="N477" s="14" t="s">
        <v>452</v>
      </c>
      <c r="O477" s="1" t="s">
        <v>65</v>
      </c>
    </row>
    <row r="478" spans="1:15" x14ac:dyDescent="0.25">
      <c r="A478" t="s">
        <v>473</v>
      </c>
      <c r="B478" t="s">
        <v>745</v>
      </c>
      <c r="C478" t="s">
        <v>750</v>
      </c>
      <c r="D478" t="s">
        <v>751</v>
      </c>
      <c r="E478">
        <v>44</v>
      </c>
      <c r="F478" t="s">
        <v>517</v>
      </c>
      <c r="G478" s="20">
        <v>3</v>
      </c>
      <c r="H478">
        <v>3</v>
      </c>
      <c r="I478">
        <v>92.46</v>
      </c>
      <c r="J478">
        <v>58.762</v>
      </c>
      <c r="K478">
        <f>(3.408+3.489)/2</f>
        <v>3.4485000000000001</v>
      </c>
      <c r="L478" s="8">
        <v>0</v>
      </c>
      <c r="M478" s="8" t="s">
        <v>451</v>
      </c>
      <c r="N478" s="14" t="s">
        <v>452</v>
      </c>
    </row>
    <row r="479" spans="1:15" x14ac:dyDescent="0.25">
      <c r="A479" t="s">
        <v>473</v>
      </c>
      <c r="B479" t="s">
        <v>745</v>
      </c>
      <c r="C479" t="s">
        <v>750</v>
      </c>
      <c r="D479" t="s">
        <v>751</v>
      </c>
      <c r="E479">
        <v>45</v>
      </c>
      <c r="F479" t="s">
        <v>518</v>
      </c>
      <c r="G479" s="20">
        <v>2</v>
      </c>
      <c r="H479">
        <v>2</v>
      </c>
      <c r="I479">
        <f>38.808+12.152</f>
        <v>50.96</v>
      </c>
      <c r="J479">
        <v>77.052000000000007</v>
      </c>
      <c r="K479">
        <v>4.7279999999999998</v>
      </c>
      <c r="L479" s="8">
        <v>2</v>
      </c>
      <c r="M479" s="8" t="s">
        <v>451</v>
      </c>
      <c r="N479" s="14">
        <v>2.6389999999999998</v>
      </c>
    </row>
    <row r="480" spans="1:15" x14ac:dyDescent="0.25">
      <c r="A480" t="s">
        <v>473</v>
      </c>
      <c r="B480" t="s">
        <v>745</v>
      </c>
      <c r="C480" t="s">
        <v>750</v>
      </c>
      <c r="D480" t="s">
        <v>751</v>
      </c>
      <c r="E480">
        <v>46</v>
      </c>
      <c r="F480" t="s">
        <v>519</v>
      </c>
      <c r="G480" s="20">
        <v>2</v>
      </c>
      <c r="H480">
        <v>2</v>
      </c>
      <c r="I480">
        <v>44.889000000000003</v>
      </c>
      <c r="J480">
        <v>74.918000000000006</v>
      </c>
      <c r="K480">
        <v>7.056</v>
      </c>
      <c r="L480" s="8">
        <v>1</v>
      </c>
      <c r="M480" s="8" t="s">
        <v>451</v>
      </c>
      <c r="N480" s="14">
        <v>3.2250000000000001</v>
      </c>
    </row>
    <row r="481" spans="1:15" x14ac:dyDescent="0.25">
      <c r="A481" t="s">
        <v>473</v>
      </c>
      <c r="B481" t="s">
        <v>745</v>
      </c>
      <c r="C481" t="s">
        <v>750</v>
      </c>
      <c r="D481" t="s">
        <v>751</v>
      </c>
      <c r="E481">
        <v>47</v>
      </c>
      <c r="F481" t="s">
        <v>520</v>
      </c>
      <c r="G481" s="20">
        <v>2</v>
      </c>
      <c r="H481">
        <v>2</v>
      </c>
      <c r="I481">
        <f>39.571+5.525+6.684</f>
        <v>51.779999999999994</v>
      </c>
      <c r="J481">
        <v>74.260999999999996</v>
      </c>
      <c r="K481">
        <v>8.8330000000000002</v>
      </c>
      <c r="L481" s="8">
        <v>2</v>
      </c>
      <c r="M481" s="8" t="s">
        <v>454</v>
      </c>
      <c r="N481" s="14">
        <v>0</v>
      </c>
    </row>
    <row r="482" spans="1:15" x14ac:dyDescent="0.25">
      <c r="A482" t="s">
        <v>473</v>
      </c>
      <c r="B482" t="s">
        <v>745</v>
      </c>
      <c r="C482" t="s">
        <v>750</v>
      </c>
      <c r="D482" t="s">
        <v>751</v>
      </c>
      <c r="E482">
        <v>48</v>
      </c>
      <c r="F482" t="s">
        <v>521</v>
      </c>
      <c r="G482" s="20">
        <v>3</v>
      </c>
      <c r="H482">
        <v>4</v>
      </c>
      <c r="I482">
        <f>120.295+31.177</f>
        <v>151.47200000000001</v>
      </c>
      <c r="J482">
        <v>22.914999999999999</v>
      </c>
      <c r="K482">
        <f>(2.349+1.937)/2</f>
        <v>2.1430000000000002</v>
      </c>
      <c r="L482" s="8">
        <v>1</v>
      </c>
      <c r="M482" s="8" t="s">
        <v>454</v>
      </c>
      <c r="N482" s="14">
        <v>0</v>
      </c>
    </row>
    <row r="483" spans="1:15" x14ac:dyDescent="0.25">
      <c r="A483" t="s">
        <v>473</v>
      </c>
      <c r="B483" t="s">
        <v>745</v>
      </c>
      <c r="C483" t="s">
        <v>750</v>
      </c>
      <c r="D483" t="s">
        <v>751</v>
      </c>
      <c r="E483">
        <v>49</v>
      </c>
      <c r="F483" t="s">
        <v>522</v>
      </c>
      <c r="G483" s="20">
        <v>3</v>
      </c>
      <c r="H483">
        <v>4</v>
      </c>
      <c r="I483">
        <f>42.515+57.234</f>
        <v>99.748999999999995</v>
      </c>
      <c r="J483">
        <v>22.695</v>
      </c>
      <c r="K483">
        <f>(1.37+1.515)/2</f>
        <v>1.4424999999999999</v>
      </c>
      <c r="L483" s="8">
        <v>1</v>
      </c>
      <c r="M483" s="8" t="s">
        <v>451</v>
      </c>
      <c r="N483" s="14">
        <v>16.629000000000001</v>
      </c>
    </row>
    <row r="484" spans="1:15" x14ac:dyDescent="0.25">
      <c r="A484" t="s">
        <v>473</v>
      </c>
      <c r="B484" t="s">
        <v>745</v>
      </c>
      <c r="C484" t="s">
        <v>750</v>
      </c>
      <c r="D484" t="s">
        <v>751</v>
      </c>
      <c r="E484">
        <v>50</v>
      </c>
      <c r="F484" t="s">
        <v>523</v>
      </c>
      <c r="G484" s="20">
        <v>3</v>
      </c>
      <c r="H484">
        <v>3</v>
      </c>
      <c r="I484">
        <f>70.107+3.986</f>
        <v>74.093000000000004</v>
      </c>
      <c r="J484">
        <v>47.603000000000002</v>
      </c>
      <c r="K484">
        <f>(1.933+1.784)/2</f>
        <v>1.8585</v>
      </c>
      <c r="L484" s="8">
        <v>1</v>
      </c>
      <c r="M484" s="8" t="s">
        <v>451</v>
      </c>
      <c r="N484" s="14">
        <v>6.5220000000000002</v>
      </c>
    </row>
    <row r="485" spans="1:15" x14ac:dyDescent="0.25">
      <c r="A485" t="s">
        <v>473</v>
      </c>
      <c r="B485" t="s">
        <v>745</v>
      </c>
      <c r="C485" t="s">
        <v>750</v>
      </c>
      <c r="D485" t="s">
        <v>751</v>
      </c>
      <c r="E485">
        <v>51</v>
      </c>
      <c r="F485" t="s">
        <v>524</v>
      </c>
      <c r="G485" s="20">
        <v>3</v>
      </c>
      <c r="H485">
        <v>3</v>
      </c>
      <c r="I485">
        <v>85.878</v>
      </c>
      <c r="J485">
        <v>55.133000000000003</v>
      </c>
      <c r="K485">
        <f>(3.434+2.69)/2</f>
        <v>3.0620000000000003</v>
      </c>
      <c r="L485" s="8">
        <v>0</v>
      </c>
      <c r="M485" s="8" t="s">
        <v>451</v>
      </c>
      <c r="N485" s="14" t="s">
        <v>452</v>
      </c>
      <c r="O485" s="1" t="s">
        <v>65</v>
      </c>
    </row>
    <row r="486" spans="1:15" x14ac:dyDescent="0.25">
      <c r="A486" t="s">
        <v>473</v>
      </c>
      <c r="B486" t="s">
        <v>745</v>
      </c>
      <c r="C486" t="s">
        <v>750</v>
      </c>
      <c r="D486" t="s">
        <v>751</v>
      </c>
      <c r="E486">
        <v>52</v>
      </c>
      <c r="F486" t="s">
        <v>525</v>
      </c>
      <c r="G486" s="20">
        <v>3</v>
      </c>
      <c r="H486">
        <v>4</v>
      </c>
      <c r="I486">
        <v>69.563999999999993</v>
      </c>
      <c r="J486">
        <v>25.053000000000001</v>
      </c>
      <c r="K486">
        <f>(2.064+1.998)/2</f>
        <v>2.0310000000000001</v>
      </c>
      <c r="L486" s="8">
        <v>1</v>
      </c>
      <c r="M486" s="8" t="s">
        <v>451</v>
      </c>
      <c r="N486" s="14">
        <v>47.197000000000003</v>
      </c>
    </row>
    <row r="487" spans="1:15" x14ac:dyDescent="0.25">
      <c r="A487" t="s">
        <v>473</v>
      </c>
      <c r="B487" t="s">
        <v>745</v>
      </c>
      <c r="C487" t="s">
        <v>750</v>
      </c>
      <c r="D487" t="s">
        <v>751</v>
      </c>
      <c r="E487">
        <v>53</v>
      </c>
      <c r="F487" t="s">
        <v>526</v>
      </c>
      <c r="G487" s="20">
        <v>3</v>
      </c>
      <c r="H487">
        <v>4</v>
      </c>
      <c r="I487">
        <f>48.234+58.014</f>
        <v>106.248</v>
      </c>
      <c r="J487">
        <v>36.052999999999997</v>
      </c>
      <c r="K487">
        <f>(1.595+3.239+1.396)/3</f>
        <v>2.0766666666666667</v>
      </c>
      <c r="L487" s="8">
        <v>2</v>
      </c>
      <c r="M487" s="8" t="s">
        <v>527</v>
      </c>
      <c r="N487" s="14">
        <v>0</v>
      </c>
    </row>
    <row r="488" spans="1:15" x14ac:dyDescent="0.25">
      <c r="A488" t="s">
        <v>473</v>
      </c>
      <c r="B488" t="s">
        <v>745</v>
      </c>
      <c r="C488" t="s">
        <v>750</v>
      </c>
      <c r="D488" t="s">
        <v>751</v>
      </c>
      <c r="E488">
        <v>54</v>
      </c>
      <c r="F488" t="s">
        <v>528</v>
      </c>
      <c r="G488" s="20">
        <v>3</v>
      </c>
      <c r="H488">
        <v>3</v>
      </c>
      <c r="I488">
        <f>96.448+21.694</f>
        <v>118.142</v>
      </c>
      <c r="J488">
        <v>67.971999999999994</v>
      </c>
      <c r="K488">
        <f>(2.008+1.762)/2</f>
        <v>1.885</v>
      </c>
      <c r="L488" s="8">
        <v>1</v>
      </c>
      <c r="M488" s="8" t="s">
        <v>451</v>
      </c>
      <c r="N488" s="14">
        <v>21.916</v>
      </c>
    </row>
    <row r="489" spans="1:15" x14ac:dyDescent="0.25">
      <c r="A489" t="s">
        <v>473</v>
      </c>
      <c r="B489" t="s">
        <v>745</v>
      </c>
      <c r="C489" t="s">
        <v>750</v>
      </c>
      <c r="D489" t="s">
        <v>751</v>
      </c>
      <c r="E489">
        <v>55</v>
      </c>
      <c r="F489" t="s">
        <v>529</v>
      </c>
      <c r="G489" s="20">
        <v>3</v>
      </c>
      <c r="H489">
        <v>3</v>
      </c>
      <c r="I489">
        <v>83.891000000000005</v>
      </c>
      <c r="J489">
        <v>70.350999999999999</v>
      </c>
      <c r="K489">
        <f>(2.093+2.695)/2</f>
        <v>2.3940000000000001</v>
      </c>
      <c r="L489" s="8">
        <v>0</v>
      </c>
      <c r="M489" s="8" t="s">
        <v>451</v>
      </c>
      <c r="N489" s="14" t="s">
        <v>452</v>
      </c>
    </row>
    <row r="490" spans="1:15" x14ac:dyDescent="0.25">
      <c r="A490" t="s">
        <v>473</v>
      </c>
      <c r="B490" t="s">
        <v>745</v>
      </c>
      <c r="C490" t="s">
        <v>750</v>
      </c>
      <c r="D490" t="s">
        <v>751</v>
      </c>
      <c r="E490">
        <v>56</v>
      </c>
      <c r="F490" t="s">
        <v>530</v>
      </c>
      <c r="G490" s="20">
        <v>3</v>
      </c>
      <c r="H490">
        <v>3</v>
      </c>
      <c r="I490">
        <f>70.983+23.074</f>
        <v>94.057000000000002</v>
      </c>
      <c r="J490">
        <v>45.7</v>
      </c>
      <c r="K490">
        <f>(1.814+1.496+1.783)/3</f>
        <v>1.6976666666666667</v>
      </c>
      <c r="L490" s="8">
        <v>1</v>
      </c>
      <c r="M490" s="8" t="s">
        <v>454</v>
      </c>
      <c r="N490" s="14">
        <v>0</v>
      </c>
      <c r="O490" s="1" t="s">
        <v>65</v>
      </c>
    </row>
    <row r="491" spans="1:15" x14ac:dyDescent="0.25">
      <c r="A491" t="s">
        <v>473</v>
      </c>
      <c r="B491" t="s">
        <v>745</v>
      </c>
      <c r="C491" t="s">
        <v>750</v>
      </c>
      <c r="D491" t="s">
        <v>751</v>
      </c>
      <c r="E491">
        <v>57</v>
      </c>
      <c r="F491" t="s">
        <v>531</v>
      </c>
      <c r="G491" s="20">
        <v>3</v>
      </c>
      <c r="H491">
        <v>3</v>
      </c>
      <c r="I491">
        <f>87.392+83.645+23.961</f>
        <v>194.99799999999999</v>
      </c>
      <c r="J491">
        <v>54.911000000000001</v>
      </c>
      <c r="K491">
        <f>(2.683+2.622)/2</f>
        <v>2.6524999999999999</v>
      </c>
      <c r="L491" s="8">
        <v>3</v>
      </c>
      <c r="M491" s="8" t="s">
        <v>451</v>
      </c>
      <c r="N491" s="14">
        <v>12.321</v>
      </c>
      <c r="O491" s="1" t="s">
        <v>65</v>
      </c>
    </row>
    <row r="492" spans="1:15" x14ac:dyDescent="0.25">
      <c r="A492" t="s">
        <v>473</v>
      </c>
      <c r="B492" t="s">
        <v>745</v>
      </c>
      <c r="C492" t="s">
        <v>750</v>
      </c>
      <c r="D492" t="s">
        <v>751</v>
      </c>
      <c r="E492">
        <v>58</v>
      </c>
      <c r="F492" t="s">
        <v>532</v>
      </c>
      <c r="G492" s="20">
        <v>3</v>
      </c>
      <c r="H492">
        <v>3</v>
      </c>
      <c r="I492">
        <f>64.339+8.255+4.299</f>
        <v>76.893000000000001</v>
      </c>
      <c r="J492">
        <v>60.811999999999998</v>
      </c>
      <c r="K492">
        <f>(3.891+4.651)/2</f>
        <v>4.2709999999999999</v>
      </c>
      <c r="L492" s="8">
        <v>2</v>
      </c>
      <c r="M492" s="8" t="s">
        <v>451</v>
      </c>
      <c r="N492" s="14">
        <v>3.637</v>
      </c>
    </row>
    <row r="493" spans="1:15" x14ac:dyDescent="0.25">
      <c r="A493" t="s">
        <v>473</v>
      </c>
      <c r="B493" t="s">
        <v>745</v>
      </c>
      <c r="C493" t="s">
        <v>750</v>
      </c>
      <c r="D493" t="s">
        <v>751</v>
      </c>
      <c r="E493">
        <v>59</v>
      </c>
      <c r="F493" t="s">
        <v>533</v>
      </c>
      <c r="G493" s="20">
        <v>3</v>
      </c>
      <c r="H493">
        <v>3</v>
      </c>
      <c r="I493">
        <f>41.062+27.74</f>
        <v>68.801999999999992</v>
      </c>
      <c r="J493">
        <v>69.643000000000001</v>
      </c>
      <c r="K493">
        <f>(1.834+1.629+1.459)/3</f>
        <v>1.6406666666666669</v>
      </c>
      <c r="L493" s="8">
        <v>1</v>
      </c>
      <c r="M493" s="8" t="s">
        <v>451</v>
      </c>
      <c r="N493" s="14">
        <v>0</v>
      </c>
    </row>
    <row r="494" spans="1:15" x14ac:dyDescent="0.25">
      <c r="A494" t="s">
        <v>473</v>
      </c>
      <c r="B494" t="s">
        <v>745</v>
      </c>
      <c r="C494" t="s">
        <v>750</v>
      </c>
      <c r="D494" t="s">
        <v>751</v>
      </c>
      <c r="E494">
        <v>60</v>
      </c>
      <c r="F494" t="s">
        <v>534</v>
      </c>
      <c r="G494" s="20">
        <v>3</v>
      </c>
      <c r="H494">
        <v>4</v>
      </c>
      <c r="I494">
        <f>111.636+13.586+26.192+3.565</f>
        <v>154.97899999999998</v>
      </c>
      <c r="J494">
        <v>25.713999999999999</v>
      </c>
      <c r="K494">
        <f>(1.564+2.521+3.649)/3</f>
        <v>2.5779999999999998</v>
      </c>
      <c r="L494" s="8">
        <v>4</v>
      </c>
      <c r="M494" s="8" t="s">
        <v>454</v>
      </c>
      <c r="N494" s="14">
        <v>0</v>
      </c>
    </row>
    <row r="495" spans="1:15" x14ac:dyDescent="0.25">
      <c r="A495" t="s">
        <v>473</v>
      </c>
      <c r="B495" t="s">
        <v>745</v>
      </c>
      <c r="C495" t="s">
        <v>750</v>
      </c>
      <c r="D495" t="s">
        <v>751</v>
      </c>
      <c r="E495">
        <v>61</v>
      </c>
      <c r="F495" t="s">
        <v>535</v>
      </c>
      <c r="G495" s="20">
        <v>3</v>
      </c>
      <c r="H495">
        <v>4</v>
      </c>
      <c r="I495">
        <f>145.184+50.46</f>
        <v>195.64400000000001</v>
      </c>
      <c r="J495">
        <v>34.213999999999999</v>
      </c>
      <c r="K495">
        <f>(1.661+1.493)/2</f>
        <v>1.577</v>
      </c>
      <c r="L495" s="8">
        <v>1</v>
      </c>
      <c r="M495" s="8" t="s">
        <v>451</v>
      </c>
      <c r="N495" s="14">
        <v>38.457000000000001</v>
      </c>
    </row>
    <row r="496" spans="1:15" x14ac:dyDescent="0.25">
      <c r="A496" t="s">
        <v>473</v>
      </c>
      <c r="B496" t="s">
        <v>745</v>
      </c>
      <c r="C496" t="s">
        <v>750</v>
      </c>
      <c r="D496" t="s">
        <v>751</v>
      </c>
      <c r="E496">
        <v>62</v>
      </c>
      <c r="F496" t="s">
        <v>536</v>
      </c>
      <c r="G496" s="20">
        <v>3</v>
      </c>
      <c r="H496">
        <v>3</v>
      </c>
      <c r="I496">
        <f>65.094+61.184</f>
        <v>126.27799999999999</v>
      </c>
      <c r="J496">
        <v>40.274000000000001</v>
      </c>
      <c r="K496">
        <f>(2.53+4+3.062)/3</f>
        <v>3.1973333333333329</v>
      </c>
      <c r="L496" s="8">
        <v>1</v>
      </c>
      <c r="M496" s="8" t="s">
        <v>454</v>
      </c>
      <c r="N496" s="14">
        <v>0</v>
      </c>
      <c r="O496" s="1" t="s">
        <v>174</v>
      </c>
    </row>
    <row r="497" spans="1:21" x14ac:dyDescent="0.25">
      <c r="A497" t="s">
        <v>473</v>
      </c>
      <c r="B497" t="s">
        <v>745</v>
      </c>
      <c r="C497" t="s">
        <v>750</v>
      </c>
      <c r="D497" t="s">
        <v>751</v>
      </c>
      <c r="E497">
        <v>63</v>
      </c>
      <c r="F497" t="s">
        <v>537</v>
      </c>
      <c r="G497" s="20">
        <v>3</v>
      </c>
      <c r="H497">
        <v>3</v>
      </c>
      <c r="I497">
        <f>77.223+10.361+5.013+24.483+10.928</f>
        <v>128.00800000000001</v>
      </c>
      <c r="J497">
        <v>62.728000000000002</v>
      </c>
      <c r="K497">
        <f>(5.691+3.643)/2</f>
        <v>4.6669999999999998</v>
      </c>
      <c r="L497" s="8">
        <v>4</v>
      </c>
      <c r="M497" s="8" t="s">
        <v>451</v>
      </c>
      <c r="N497" s="14">
        <v>4.5819999999999999</v>
      </c>
    </row>
    <row r="498" spans="1:21" x14ac:dyDescent="0.25">
      <c r="A498" t="s">
        <v>473</v>
      </c>
      <c r="B498" t="s">
        <v>745</v>
      </c>
      <c r="C498" t="s">
        <v>750</v>
      </c>
      <c r="D498" t="s">
        <v>751</v>
      </c>
      <c r="E498">
        <v>64</v>
      </c>
      <c r="F498" t="s">
        <v>538</v>
      </c>
      <c r="G498" s="20">
        <v>3</v>
      </c>
      <c r="H498">
        <v>4</v>
      </c>
      <c r="I498">
        <f>169.099+22.643</f>
        <v>191.74199999999999</v>
      </c>
      <c r="J498">
        <v>20.106000000000002</v>
      </c>
      <c r="K498">
        <f>(1.495+1.796)/2</f>
        <v>1.6455000000000002</v>
      </c>
      <c r="L498" s="8">
        <v>1</v>
      </c>
      <c r="M498" s="8" t="s">
        <v>451</v>
      </c>
      <c r="N498" s="14">
        <v>17.343</v>
      </c>
    </row>
    <row r="499" spans="1:21" x14ac:dyDescent="0.25">
      <c r="A499" t="s">
        <v>473</v>
      </c>
      <c r="B499" t="s">
        <v>745</v>
      </c>
      <c r="C499" t="s">
        <v>750</v>
      </c>
      <c r="D499" t="s">
        <v>751</v>
      </c>
      <c r="E499">
        <v>65</v>
      </c>
      <c r="F499" t="s">
        <v>539</v>
      </c>
      <c r="G499" s="20">
        <v>3</v>
      </c>
      <c r="H499">
        <v>4</v>
      </c>
      <c r="I499">
        <f>53.771+78.208</f>
        <v>131.97899999999998</v>
      </c>
      <c r="J499">
        <v>34.777000000000001</v>
      </c>
      <c r="K499">
        <f>(2.008+1.671)/2</f>
        <v>1.8395000000000001</v>
      </c>
      <c r="L499" s="8">
        <v>2</v>
      </c>
      <c r="M499" s="8" t="s">
        <v>451</v>
      </c>
      <c r="N499" s="14">
        <v>4.1159999999999997</v>
      </c>
    </row>
    <row r="500" spans="1:21" s="9" customFormat="1" x14ac:dyDescent="0.25">
      <c r="A500" s="9" t="s">
        <v>473</v>
      </c>
      <c r="B500" s="9" t="s">
        <v>745</v>
      </c>
      <c r="C500" s="9" t="s">
        <v>750</v>
      </c>
      <c r="D500" s="9" t="s">
        <v>751</v>
      </c>
      <c r="E500" s="9">
        <v>66</v>
      </c>
      <c r="F500" s="9" t="s">
        <v>540</v>
      </c>
      <c r="G500" s="20">
        <v>3</v>
      </c>
      <c r="H500" s="9">
        <v>4</v>
      </c>
      <c r="I500" s="9">
        <f>17.891+40.604+15.39</f>
        <v>73.884999999999991</v>
      </c>
      <c r="J500" s="9">
        <v>63.594999999999999</v>
      </c>
      <c r="K500" s="9">
        <f>(3.624+4.617)/2</f>
        <v>4.1204999999999998</v>
      </c>
      <c r="L500" s="12">
        <v>2</v>
      </c>
      <c r="M500" s="12" t="s">
        <v>454</v>
      </c>
      <c r="N500" s="15">
        <v>0</v>
      </c>
      <c r="O500" s="10"/>
      <c r="Q500" s="4"/>
      <c r="R500"/>
      <c r="S500"/>
      <c r="T500"/>
      <c r="U500"/>
    </row>
    <row r="501" spans="1:21" x14ac:dyDescent="0.25">
      <c r="A501" t="s">
        <v>541</v>
      </c>
      <c r="B501" t="s">
        <v>746</v>
      </c>
      <c r="C501" t="s">
        <v>748</v>
      </c>
      <c r="D501" t="s">
        <v>751</v>
      </c>
      <c r="E501">
        <v>1</v>
      </c>
      <c r="F501" t="s">
        <v>542</v>
      </c>
      <c r="G501" s="20">
        <v>3</v>
      </c>
      <c r="H501">
        <v>4</v>
      </c>
      <c r="I501">
        <f>93.595+28.803</f>
        <v>122.398</v>
      </c>
      <c r="J501">
        <v>36.113</v>
      </c>
      <c r="K501">
        <f>(2.33+2.529)/2</f>
        <v>2.4295</v>
      </c>
      <c r="L501" s="8">
        <v>1</v>
      </c>
      <c r="M501" s="8" t="s">
        <v>451</v>
      </c>
      <c r="N501" s="14">
        <v>28.765000000000001</v>
      </c>
      <c r="O501" s="1" t="s">
        <v>158</v>
      </c>
    </row>
    <row r="502" spans="1:21" x14ac:dyDescent="0.25">
      <c r="A502" t="s">
        <v>541</v>
      </c>
      <c r="B502" t="s">
        <v>746</v>
      </c>
      <c r="C502" t="s">
        <v>748</v>
      </c>
      <c r="D502" t="s">
        <v>751</v>
      </c>
      <c r="E502">
        <v>2</v>
      </c>
      <c r="F502" t="s">
        <v>543</v>
      </c>
      <c r="G502" s="20">
        <v>3</v>
      </c>
      <c r="H502">
        <v>3</v>
      </c>
      <c r="I502">
        <f>103.644+13.433</f>
        <v>117.077</v>
      </c>
      <c r="J502">
        <v>42.912999999999997</v>
      </c>
      <c r="K502">
        <f>(1.757+2.365+4.941)/3</f>
        <v>3.0209999999999995</v>
      </c>
      <c r="L502" s="8">
        <v>2</v>
      </c>
      <c r="M502" s="8" t="s">
        <v>454</v>
      </c>
      <c r="N502" s="14">
        <v>0</v>
      </c>
      <c r="Q502" s="11"/>
      <c r="R502" s="9"/>
      <c r="S502" s="9"/>
      <c r="T502" s="9"/>
    </row>
    <row r="503" spans="1:21" x14ac:dyDescent="0.25">
      <c r="A503" t="s">
        <v>541</v>
      </c>
      <c r="B503" t="s">
        <v>746</v>
      </c>
      <c r="C503" t="s">
        <v>748</v>
      </c>
      <c r="D503" t="s">
        <v>751</v>
      </c>
      <c r="E503">
        <v>3</v>
      </c>
      <c r="F503" t="s">
        <v>544</v>
      </c>
      <c r="G503" s="20">
        <v>3</v>
      </c>
      <c r="H503">
        <v>3</v>
      </c>
      <c r="I503">
        <f>85.676+26.327</f>
        <v>112.003</v>
      </c>
      <c r="J503">
        <v>47.255000000000003</v>
      </c>
      <c r="K503">
        <f>(1.932+1.109+2.112)/3</f>
        <v>1.7176666666666669</v>
      </c>
      <c r="L503" s="8">
        <v>1</v>
      </c>
      <c r="M503" s="8" t="s">
        <v>454</v>
      </c>
      <c r="N503" s="14">
        <v>0</v>
      </c>
      <c r="U503" s="9"/>
    </row>
    <row r="504" spans="1:21" x14ac:dyDescent="0.25">
      <c r="A504" t="s">
        <v>541</v>
      </c>
      <c r="B504" t="s">
        <v>746</v>
      </c>
      <c r="C504" t="s">
        <v>748</v>
      </c>
      <c r="D504" t="s">
        <v>751</v>
      </c>
      <c r="E504">
        <v>4</v>
      </c>
      <c r="F504" t="s">
        <v>545</v>
      </c>
      <c r="G504" s="20">
        <v>3</v>
      </c>
      <c r="H504">
        <v>4</v>
      </c>
      <c r="I504">
        <f>121.686+51.09</f>
        <v>172.77600000000001</v>
      </c>
      <c r="J504">
        <v>35.499000000000002</v>
      </c>
      <c r="K504">
        <f>(3.197+1.734+1.875+1.808)/4</f>
        <v>2.1535000000000002</v>
      </c>
      <c r="L504" s="8">
        <v>3</v>
      </c>
      <c r="M504" s="8" t="s">
        <v>454</v>
      </c>
      <c r="N504" s="14">
        <v>0</v>
      </c>
    </row>
    <row r="505" spans="1:21" x14ac:dyDescent="0.25">
      <c r="A505" t="s">
        <v>541</v>
      </c>
      <c r="B505" t="s">
        <v>746</v>
      </c>
      <c r="C505" t="s">
        <v>748</v>
      </c>
      <c r="D505" t="s">
        <v>751</v>
      </c>
      <c r="E505">
        <v>5</v>
      </c>
      <c r="F505" t="s">
        <v>546</v>
      </c>
      <c r="G505" s="20">
        <v>3</v>
      </c>
      <c r="H505">
        <v>3</v>
      </c>
      <c r="I505">
        <f>113.021+53.938+20.439</f>
        <v>187.398</v>
      </c>
      <c r="J505">
        <v>56.676000000000002</v>
      </c>
      <c r="K505">
        <f>(1.852+3.328+3.27)/3</f>
        <v>2.8166666666666664</v>
      </c>
      <c r="L505" s="8">
        <v>3</v>
      </c>
      <c r="M505" s="8" t="s">
        <v>454</v>
      </c>
      <c r="N505" s="14">
        <v>0</v>
      </c>
    </row>
    <row r="506" spans="1:21" x14ac:dyDescent="0.25">
      <c r="A506" t="s">
        <v>541</v>
      </c>
      <c r="B506" t="s">
        <v>746</v>
      </c>
      <c r="C506" t="s">
        <v>748</v>
      </c>
      <c r="D506" t="s">
        <v>751</v>
      </c>
      <c r="E506">
        <v>6</v>
      </c>
      <c r="F506" t="s">
        <v>547</v>
      </c>
      <c r="G506" s="20">
        <v>3</v>
      </c>
      <c r="H506">
        <v>3</v>
      </c>
      <c r="I506">
        <v>130.24100000000001</v>
      </c>
      <c r="J506">
        <v>41.892000000000003</v>
      </c>
      <c r="K506">
        <f>(1.607+2.816)/2</f>
        <v>2.2115</v>
      </c>
      <c r="L506" s="8">
        <v>0</v>
      </c>
      <c r="M506" s="8" t="s">
        <v>451</v>
      </c>
      <c r="N506" s="14" t="s">
        <v>452</v>
      </c>
    </row>
    <row r="507" spans="1:21" x14ac:dyDescent="0.25">
      <c r="A507" t="s">
        <v>541</v>
      </c>
      <c r="B507" t="s">
        <v>746</v>
      </c>
      <c r="C507" t="s">
        <v>748</v>
      </c>
      <c r="D507" t="s">
        <v>751</v>
      </c>
      <c r="E507">
        <v>7</v>
      </c>
      <c r="F507" t="s">
        <v>548</v>
      </c>
      <c r="G507" s="20">
        <v>3</v>
      </c>
      <c r="H507">
        <v>3</v>
      </c>
      <c r="I507">
        <f>37.477+17.694</f>
        <v>55.170999999999992</v>
      </c>
      <c r="J507">
        <v>51.622</v>
      </c>
      <c r="K507">
        <f>(2.097+2.351)/2</f>
        <v>2.2240000000000002</v>
      </c>
      <c r="L507" s="8">
        <v>1</v>
      </c>
      <c r="M507" s="8" t="s">
        <v>454</v>
      </c>
      <c r="N507" s="14">
        <v>0</v>
      </c>
    </row>
    <row r="508" spans="1:21" x14ac:dyDescent="0.25">
      <c r="A508" t="s">
        <v>541</v>
      </c>
      <c r="B508" t="s">
        <v>746</v>
      </c>
      <c r="C508" t="s">
        <v>748</v>
      </c>
      <c r="D508" t="s">
        <v>751</v>
      </c>
      <c r="E508">
        <v>8</v>
      </c>
      <c r="F508" t="s">
        <v>549</v>
      </c>
      <c r="G508" s="20">
        <v>3</v>
      </c>
      <c r="H508">
        <v>3</v>
      </c>
      <c r="I508">
        <f>106.556+97.417</f>
        <v>203.97300000000001</v>
      </c>
      <c r="J508">
        <v>62.006999999999998</v>
      </c>
      <c r="K508">
        <f>(1.569+4.141)/2</f>
        <v>2.855</v>
      </c>
      <c r="L508" s="8">
        <v>1</v>
      </c>
      <c r="M508" s="8" t="s">
        <v>454</v>
      </c>
      <c r="N508" s="14">
        <v>0</v>
      </c>
      <c r="O508" s="1" t="s">
        <v>550</v>
      </c>
    </row>
    <row r="509" spans="1:21" x14ac:dyDescent="0.25">
      <c r="A509" t="s">
        <v>541</v>
      </c>
      <c r="B509" t="s">
        <v>746</v>
      </c>
      <c r="C509" t="s">
        <v>748</v>
      </c>
      <c r="D509" t="s">
        <v>751</v>
      </c>
      <c r="E509">
        <v>9</v>
      </c>
      <c r="F509" t="s">
        <v>551</v>
      </c>
      <c r="G509" s="20">
        <v>3</v>
      </c>
      <c r="H509">
        <v>3</v>
      </c>
      <c r="I509">
        <v>102.41</v>
      </c>
      <c r="J509">
        <v>40.018000000000001</v>
      </c>
      <c r="K509">
        <f>(1.868+2.592)/2</f>
        <v>2.23</v>
      </c>
      <c r="L509" s="8">
        <v>0</v>
      </c>
      <c r="M509" s="8" t="s">
        <v>451</v>
      </c>
      <c r="N509" s="14" t="s">
        <v>452</v>
      </c>
      <c r="O509" s="1" t="s">
        <v>65</v>
      </c>
    </row>
    <row r="510" spans="1:21" x14ac:dyDescent="0.25">
      <c r="A510" t="s">
        <v>541</v>
      </c>
      <c r="B510" t="s">
        <v>746</v>
      </c>
      <c r="C510" t="s">
        <v>748</v>
      </c>
      <c r="D510" t="s">
        <v>751</v>
      </c>
      <c r="E510">
        <v>10</v>
      </c>
      <c r="F510" t="s">
        <v>552</v>
      </c>
      <c r="G510" s="20">
        <v>3</v>
      </c>
      <c r="H510">
        <v>3</v>
      </c>
      <c r="I510">
        <v>127.718</v>
      </c>
      <c r="J510">
        <v>50.942</v>
      </c>
      <c r="K510">
        <f>(1.348+1.62)/2</f>
        <v>1.484</v>
      </c>
      <c r="L510" s="8">
        <v>1</v>
      </c>
      <c r="M510" s="8" t="s">
        <v>451</v>
      </c>
      <c r="N510" s="14">
        <v>20.838000000000001</v>
      </c>
    </row>
    <row r="511" spans="1:21" x14ac:dyDescent="0.25">
      <c r="A511" t="s">
        <v>541</v>
      </c>
      <c r="B511" t="s">
        <v>746</v>
      </c>
      <c r="C511" t="s">
        <v>748</v>
      </c>
      <c r="D511" t="s">
        <v>751</v>
      </c>
      <c r="E511">
        <v>11</v>
      </c>
      <c r="F511" t="s">
        <v>553</v>
      </c>
      <c r="G511" s="20">
        <v>3</v>
      </c>
      <c r="H511">
        <v>4</v>
      </c>
      <c r="I511">
        <f>125.166+15.938</f>
        <v>141.10399999999998</v>
      </c>
      <c r="J511">
        <v>32.286000000000001</v>
      </c>
      <c r="K511">
        <f>(2.04+2.712)/2</f>
        <v>2.3760000000000003</v>
      </c>
      <c r="L511" s="8">
        <v>1</v>
      </c>
      <c r="M511" s="8" t="s">
        <v>454</v>
      </c>
      <c r="N511" s="14">
        <v>0</v>
      </c>
      <c r="O511" s="1" t="s">
        <v>158</v>
      </c>
    </row>
    <row r="512" spans="1:21" x14ac:dyDescent="0.25">
      <c r="A512" t="s">
        <v>541</v>
      </c>
      <c r="B512" t="s">
        <v>746</v>
      </c>
      <c r="C512" t="s">
        <v>748</v>
      </c>
      <c r="D512" t="s">
        <v>751</v>
      </c>
      <c r="E512">
        <v>12</v>
      </c>
      <c r="F512" t="s">
        <v>554</v>
      </c>
      <c r="G512" s="20">
        <v>3</v>
      </c>
      <c r="H512">
        <v>3</v>
      </c>
      <c r="I512">
        <f>50.908+24.106</f>
        <v>75.01400000000001</v>
      </c>
      <c r="J512">
        <v>46.146999999999998</v>
      </c>
      <c r="K512">
        <f>(2.842+2.761)/2</f>
        <v>2.8014999999999999</v>
      </c>
      <c r="L512" s="8">
        <v>2</v>
      </c>
      <c r="M512" s="8" t="s">
        <v>454</v>
      </c>
      <c r="N512" s="14">
        <v>0</v>
      </c>
    </row>
    <row r="513" spans="1:15" x14ac:dyDescent="0.25">
      <c r="A513" t="s">
        <v>541</v>
      </c>
      <c r="B513" t="s">
        <v>746</v>
      </c>
      <c r="C513" t="s">
        <v>748</v>
      </c>
      <c r="D513" t="s">
        <v>751</v>
      </c>
      <c r="E513">
        <v>13</v>
      </c>
      <c r="F513" t="s">
        <v>555</v>
      </c>
      <c r="G513" s="20">
        <v>3</v>
      </c>
      <c r="H513">
        <v>3</v>
      </c>
      <c r="I513">
        <v>93.668000000000006</v>
      </c>
      <c r="J513">
        <v>47.177999999999997</v>
      </c>
      <c r="K513">
        <f>(2.024+1.894)/2</f>
        <v>1.9590000000000001</v>
      </c>
      <c r="L513" s="8">
        <v>0</v>
      </c>
      <c r="M513" s="8" t="s">
        <v>451</v>
      </c>
      <c r="N513" s="14" t="s">
        <v>452</v>
      </c>
    </row>
    <row r="514" spans="1:15" x14ac:dyDescent="0.25">
      <c r="A514" t="s">
        <v>541</v>
      </c>
      <c r="B514" t="s">
        <v>746</v>
      </c>
      <c r="C514" t="s">
        <v>748</v>
      </c>
      <c r="D514" t="s">
        <v>751</v>
      </c>
      <c r="E514">
        <v>14</v>
      </c>
      <c r="F514" t="s">
        <v>556</v>
      </c>
      <c r="G514" s="20">
        <v>3</v>
      </c>
      <c r="H514">
        <v>4</v>
      </c>
      <c r="I514">
        <f>93.845+27.35+10.169</f>
        <v>131.364</v>
      </c>
      <c r="J514">
        <v>29.571000000000002</v>
      </c>
      <c r="K514">
        <f>(3.192+1.62+2.876)/3</f>
        <v>2.5626666666666669</v>
      </c>
      <c r="L514" s="8">
        <v>2</v>
      </c>
      <c r="M514" s="8" t="s">
        <v>454</v>
      </c>
      <c r="N514" s="14">
        <v>0</v>
      </c>
    </row>
    <row r="515" spans="1:15" x14ac:dyDescent="0.25">
      <c r="A515" t="s">
        <v>541</v>
      </c>
      <c r="B515" t="s">
        <v>746</v>
      </c>
      <c r="C515" t="s">
        <v>748</v>
      </c>
      <c r="D515" t="s">
        <v>751</v>
      </c>
      <c r="E515">
        <v>15</v>
      </c>
      <c r="F515" t="s">
        <v>557</v>
      </c>
      <c r="G515" s="20">
        <v>3</v>
      </c>
      <c r="H515">
        <v>3</v>
      </c>
      <c r="I515">
        <f>58.693+40.702</f>
        <v>99.394999999999996</v>
      </c>
      <c r="J515">
        <v>63.1</v>
      </c>
      <c r="K515">
        <f>(2.6+2.478)/2</f>
        <v>2.5390000000000001</v>
      </c>
      <c r="L515" s="8">
        <v>1</v>
      </c>
      <c r="M515" s="8" t="s">
        <v>451</v>
      </c>
      <c r="N515" s="14">
        <v>14.712</v>
      </c>
    </row>
    <row r="516" spans="1:15" x14ac:dyDescent="0.25">
      <c r="A516" t="s">
        <v>541</v>
      </c>
      <c r="B516" t="s">
        <v>746</v>
      </c>
      <c r="C516" t="s">
        <v>748</v>
      </c>
      <c r="D516" t="s">
        <v>751</v>
      </c>
      <c r="E516">
        <v>17</v>
      </c>
      <c r="F516" t="s">
        <v>559</v>
      </c>
      <c r="G516" s="20">
        <v>3</v>
      </c>
      <c r="H516">
        <v>3</v>
      </c>
      <c r="I516">
        <f>65.186+31.251</f>
        <v>96.437000000000012</v>
      </c>
      <c r="J516">
        <v>53.14</v>
      </c>
      <c r="K516">
        <f>(2.136+1.479+2.995)/3</f>
        <v>2.2033333333333336</v>
      </c>
      <c r="L516" s="8">
        <v>2</v>
      </c>
      <c r="M516" s="8" t="s">
        <v>454</v>
      </c>
      <c r="N516" s="14">
        <v>0</v>
      </c>
    </row>
    <row r="517" spans="1:15" x14ac:dyDescent="0.25">
      <c r="A517" t="s">
        <v>541</v>
      </c>
      <c r="B517" t="s">
        <v>746</v>
      </c>
      <c r="C517" t="s">
        <v>748</v>
      </c>
      <c r="D517" t="s">
        <v>751</v>
      </c>
      <c r="E517">
        <v>19</v>
      </c>
      <c r="F517" t="s">
        <v>561</v>
      </c>
      <c r="G517" s="20">
        <v>3</v>
      </c>
      <c r="H517">
        <v>3</v>
      </c>
      <c r="I517">
        <f>73.042+57.039</f>
        <v>130.08100000000002</v>
      </c>
      <c r="J517">
        <v>50.033999999999999</v>
      </c>
      <c r="K517">
        <f>(1.741+2.277)/2</f>
        <v>2.0090000000000003</v>
      </c>
      <c r="L517" s="8">
        <v>2</v>
      </c>
      <c r="M517" s="8" t="s">
        <v>454</v>
      </c>
      <c r="N517" s="14">
        <v>0</v>
      </c>
    </row>
    <row r="518" spans="1:15" x14ac:dyDescent="0.25">
      <c r="A518" t="s">
        <v>541</v>
      </c>
      <c r="B518" t="s">
        <v>746</v>
      </c>
      <c r="C518" t="s">
        <v>748</v>
      </c>
      <c r="D518" t="s">
        <v>751</v>
      </c>
      <c r="E518">
        <v>22</v>
      </c>
      <c r="F518" t="s">
        <v>564</v>
      </c>
      <c r="G518" s="20">
        <v>3</v>
      </c>
      <c r="H518">
        <v>4</v>
      </c>
      <c r="I518">
        <f>72.533+67.683</f>
        <v>140.21600000000001</v>
      </c>
      <c r="J518">
        <v>24.207999999999998</v>
      </c>
      <c r="K518">
        <f>(1.399+1.536)/2</f>
        <v>1.4675</v>
      </c>
      <c r="L518" s="8">
        <v>1</v>
      </c>
      <c r="M518" s="8" t="s">
        <v>454</v>
      </c>
      <c r="N518" s="14">
        <v>0</v>
      </c>
    </row>
    <row r="519" spans="1:15" x14ac:dyDescent="0.25">
      <c r="A519" t="s">
        <v>541</v>
      </c>
      <c r="B519" t="s">
        <v>746</v>
      </c>
      <c r="C519" t="s">
        <v>748</v>
      </c>
      <c r="D519" t="s">
        <v>751</v>
      </c>
      <c r="E519">
        <v>23</v>
      </c>
      <c r="F519" t="s">
        <v>565</v>
      </c>
      <c r="G519" s="20">
        <v>3</v>
      </c>
      <c r="H519">
        <v>4</v>
      </c>
      <c r="I519">
        <v>97.593999999999994</v>
      </c>
      <c r="J519">
        <v>47.01</v>
      </c>
      <c r="K519">
        <f>(1.71+2.168)/2</f>
        <v>1.9390000000000001</v>
      </c>
      <c r="L519" s="8">
        <v>0</v>
      </c>
      <c r="M519" s="8" t="s">
        <v>451</v>
      </c>
      <c r="N519" s="14" t="s">
        <v>452</v>
      </c>
    </row>
    <row r="520" spans="1:15" x14ac:dyDescent="0.25">
      <c r="A520" t="s">
        <v>541</v>
      </c>
      <c r="B520" t="s">
        <v>746</v>
      </c>
      <c r="C520" t="s">
        <v>748</v>
      </c>
      <c r="D520" t="s">
        <v>751</v>
      </c>
      <c r="E520">
        <v>24</v>
      </c>
      <c r="F520" t="s">
        <v>566</v>
      </c>
      <c r="G520" s="20">
        <v>3</v>
      </c>
      <c r="H520">
        <v>4</v>
      </c>
      <c r="I520">
        <f>47.126+53.277</f>
        <v>100.40299999999999</v>
      </c>
      <c r="J520">
        <v>25.547000000000001</v>
      </c>
      <c r="K520">
        <f>(2.5+1.263+1.839)/3</f>
        <v>1.8673333333333335</v>
      </c>
      <c r="L520" s="8">
        <v>1</v>
      </c>
      <c r="M520" s="8" t="s">
        <v>454</v>
      </c>
      <c r="N520" s="14">
        <v>0</v>
      </c>
    </row>
    <row r="521" spans="1:15" x14ac:dyDescent="0.25">
      <c r="A521" t="s">
        <v>541</v>
      </c>
      <c r="B521" t="s">
        <v>746</v>
      </c>
      <c r="C521" t="s">
        <v>748</v>
      </c>
      <c r="D521" t="s">
        <v>751</v>
      </c>
      <c r="E521">
        <v>25</v>
      </c>
      <c r="F521" t="s">
        <v>567</v>
      </c>
      <c r="G521" s="20">
        <v>3</v>
      </c>
      <c r="H521">
        <v>3</v>
      </c>
      <c r="I521">
        <f>58.145+40.422</f>
        <v>98.567000000000007</v>
      </c>
      <c r="J521">
        <v>47.41</v>
      </c>
      <c r="K521">
        <f>(2.88+1.977+2.866)/3</f>
        <v>2.5743333333333336</v>
      </c>
      <c r="L521" s="8">
        <v>2</v>
      </c>
      <c r="M521" s="8" t="s">
        <v>454</v>
      </c>
      <c r="N521" s="14">
        <v>0</v>
      </c>
    </row>
    <row r="522" spans="1:15" x14ac:dyDescent="0.25">
      <c r="A522" t="s">
        <v>541</v>
      </c>
      <c r="B522" t="s">
        <v>746</v>
      </c>
      <c r="C522" t="s">
        <v>748</v>
      </c>
      <c r="D522" t="s">
        <v>751</v>
      </c>
      <c r="E522">
        <v>26</v>
      </c>
      <c r="F522" t="s">
        <v>568</v>
      </c>
      <c r="G522" s="20">
        <v>3</v>
      </c>
      <c r="H522">
        <v>4</v>
      </c>
      <c r="I522">
        <v>141.02099999999999</v>
      </c>
      <c r="J522">
        <v>47.514000000000003</v>
      </c>
      <c r="K522">
        <f>(1.911+2.219)/2</f>
        <v>2.0649999999999999</v>
      </c>
      <c r="L522" s="8">
        <v>1</v>
      </c>
      <c r="M522" s="8" t="s">
        <v>454</v>
      </c>
      <c r="N522" s="14">
        <v>0</v>
      </c>
    </row>
    <row r="523" spans="1:15" x14ac:dyDescent="0.25">
      <c r="A523" t="s">
        <v>541</v>
      </c>
      <c r="B523" t="s">
        <v>746</v>
      </c>
      <c r="C523" t="s">
        <v>748</v>
      </c>
      <c r="D523" t="s">
        <v>751</v>
      </c>
      <c r="E523">
        <v>27</v>
      </c>
      <c r="F523" t="s">
        <v>569</v>
      </c>
      <c r="G523" s="20">
        <v>3</v>
      </c>
      <c r="H523">
        <v>3</v>
      </c>
      <c r="I523">
        <f>103.223+10.307</f>
        <v>113.53</v>
      </c>
      <c r="J523">
        <v>42.988999999999997</v>
      </c>
      <c r="K523">
        <f>(1.809+1.235)/2</f>
        <v>1.522</v>
      </c>
      <c r="L523" s="8">
        <v>2</v>
      </c>
      <c r="M523" s="8" t="s">
        <v>454</v>
      </c>
      <c r="N523" s="14">
        <v>0</v>
      </c>
    </row>
    <row r="524" spans="1:15" x14ac:dyDescent="0.25">
      <c r="A524" t="s">
        <v>541</v>
      </c>
      <c r="B524" t="s">
        <v>746</v>
      </c>
      <c r="C524" t="s">
        <v>748</v>
      </c>
      <c r="D524" t="s">
        <v>751</v>
      </c>
      <c r="E524">
        <v>28</v>
      </c>
      <c r="F524" t="s">
        <v>570</v>
      </c>
      <c r="G524" s="20">
        <v>3</v>
      </c>
      <c r="H524">
        <v>4</v>
      </c>
      <c r="I524">
        <f>52.2+37.528</f>
        <v>89.728000000000009</v>
      </c>
      <c r="J524">
        <v>30</v>
      </c>
      <c r="K524">
        <f>(2.18+2.103+2.077)/3</f>
        <v>2.12</v>
      </c>
      <c r="L524" s="8">
        <v>1</v>
      </c>
      <c r="M524" s="8" t="s">
        <v>454</v>
      </c>
      <c r="N524" s="14">
        <v>0</v>
      </c>
    </row>
    <row r="525" spans="1:15" x14ac:dyDescent="0.25">
      <c r="A525" t="s">
        <v>541</v>
      </c>
      <c r="B525" t="s">
        <v>746</v>
      </c>
      <c r="C525" t="s">
        <v>748</v>
      </c>
      <c r="D525" t="s">
        <v>751</v>
      </c>
      <c r="E525">
        <v>29</v>
      </c>
      <c r="F525" t="s">
        <v>571</v>
      </c>
      <c r="G525" s="20">
        <v>3</v>
      </c>
      <c r="H525">
        <v>3</v>
      </c>
      <c r="I525">
        <f>78.809+10.854</f>
        <v>89.662999999999997</v>
      </c>
      <c r="J525">
        <v>54.298000000000002</v>
      </c>
      <c r="K525">
        <f>(2.772+3.505)/2</f>
        <v>3.1384999999999996</v>
      </c>
      <c r="L525" s="8">
        <v>1</v>
      </c>
      <c r="M525" s="8" t="s">
        <v>451</v>
      </c>
      <c r="N525" s="14">
        <v>9.2249999999999996</v>
      </c>
    </row>
    <row r="526" spans="1:15" x14ac:dyDescent="0.25">
      <c r="A526" t="s">
        <v>541</v>
      </c>
      <c r="B526" t="s">
        <v>746</v>
      </c>
      <c r="C526" t="s">
        <v>748</v>
      </c>
      <c r="D526" t="s">
        <v>751</v>
      </c>
      <c r="E526">
        <v>30</v>
      </c>
      <c r="F526" t="s">
        <v>572</v>
      </c>
      <c r="G526" s="20">
        <v>3</v>
      </c>
      <c r="H526">
        <v>3</v>
      </c>
      <c r="I526">
        <f>66.032+7.17+16.243+6.988</f>
        <v>96.432999999999993</v>
      </c>
      <c r="J526">
        <v>64.747</v>
      </c>
      <c r="K526">
        <f>(2.55+3.032)/2</f>
        <v>2.7909999999999999</v>
      </c>
      <c r="L526" s="8">
        <v>2</v>
      </c>
      <c r="M526" s="8" t="s">
        <v>451</v>
      </c>
      <c r="N526" s="14">
        <v>3.9769999999999999</v>
      </c>
    </row>
    <row r="527" spans="1:15" x14ac:dyDescent="0.25">
      <c r="A527" t="s">
        <v>541</v>
      </c>
      <c r="B527" t="s">
        <v>746</v>
      </c>
      <c r="C527" t="s">
        <v>748</v>
      </c>
      <c r="D527" t="s">
        <v>751</v>
      </c>
      <c r="E527">
        <v>31</v>
      </c>
      <c r="F527" t="s">
        <v>573</v>
      </c>
      <c r="G527" s="20">
        <v>3</v>
      </c>
      <c r="H527">
        <v>4</v>
      </c>
      <c r="I527">
        <f>57.664+8.936</f>
        <v>66.599999999999994</v>
      </c>
      <c r="J527">
        <v>28.321000000000002</v>
      </c>
      <c r="K527">
        <f>(2.753+2.825)/2</f>
        <v>2.7890000000000001</v>
      </c>
      <c r="L527" s="8">
        <v>1</v>
      </c>
      <c r="M527" s="8" t="s">
        <v>451</v>
      </c>
      <c r="N527" s="14">
        <v>40.972999999999999</v>
      </c>
      <c r="O527" s="1" t="s">
        <v>574</v>
      </c>
    </row>
    <row r="528" spans="1:15" x14ac:dyDescent="0.25">
      <c r="A528" t="s">
        <v>541</v>
      </c>
      <c r="B528" t="s">
        <v>746</v>
      </c>
      <c r="C528" t="s">
        <v>748</v>
      </c>
      <c r="D528" t="s">
        <v>751</v>
      </c>
      <c r="E528">
        <v>32</v>
      </c>
      <c r="F528" t="s">
        <v>575</v>
      </c>
      <c r="G528" s="20">
        <v>3</v>
      </c>
      <c r="H528">
        <v>3</v>
      </c>
      <c r="I528">
        <v>45.625999999999998</v>
      </c>
      <c r="J528">
        <v>29.401</v>
      </c>
      <c r="K528">
        <f>(4.643+6.641)/2</f>
        <v>5.6419999999999995</v>
      </c>
      <c r="L528" s="8">
        <v>0</v>
      </c>
      <c r="M528" s="8" t="s">
        <v>451</v>
      </c>
      <c r="N528" s="14" t="s">
        <v>452</v>
      </c>
    </row>
    <row r="529" spans="1:21" x14ac:dyDescent="0.25">
      <c r="A529" t="s">
        <v>541</v>
      </c>
      <c r="B529" t="s">
        <v>746</v>
      </c>
      <c r="C529" t="s">
        <v>748</v>
      </c>
      <c r="D529" t="s">
        <v>751</v>
      </c>
      <c r="E529">
        <v>33</v>
      </c>
      <c r="F529" t="s">
        <v>576</v>
      </c>
      <c r="G529" s="20">
        <v>3</v>
      </c>
      <c r="H529">
        <v>2</v>
      </c>
      <c r="I529">
        <v>54.634</v>
      </c>
      <c r="J529">
        <v>84.302999999999997</v>
      </c>
      <c r="K529">
        <f>(3.41+3.982)/2</f>
        <v>3.6960000000000002</v>
      </c>
      <c r="L529" s="8">
        <v>0</v>
      </c>
      <c r="M529" s="8" t="s">
        <v>451</v>
      </c>
      <c r="N529" s="14" t="s">
        <v>452</v>
      </c>
    </row>
    <row r="530" spans="1:21" x14ac:dyDescent="0.25">
      <c r="A530" t="s">
        <v>541</v>
      </c>
      <c r="B530" t="s">
        <v>746</v>
      </c>
      <c r="C530" t="s">
        <v>748</v>
      </c>
      <c r="D530" t="s">
        <v>751</v>
      </c>
      <c r="E530">
        <v>34</v>
      </c>
      <c r="F530" t="s">
        <v>577</v>
      </c>
      <c r="G530" s="20">
        <v>3</v>
      </c>
      <c r="H530">
        <v>2</v>
      </c>
      <c r="I530">
        <f>45.956+12.334</f>
        <v>58.290000000000006</v>
      </c>
      <c r="J530">
        <v>83.274000000000001</v>
      </c>
      <c r="K530">
        <f>(5.6+3.015+7.814)/3</f>
        <v>5.4763333333333337</v>
      </c>
      <c r="L530" s="8">
        <v>1</v>
      </c>
      <c r="M530" s="8" t="s">
        <v>454</v>
      </c>
      <c r="N530" s="14">
        <v>0</v>
      </c>
      <c r="Q530" s="29"/>
      <c r="R530" s="16"/>
      <c r="S530" s="16"/>
      <c r="T530" s="16"/>
    </row>
    <row r="531" spans="1:21" x14ac:dyDescent="0.25">
      <c r="A531" t="s">
        <v>541</v>
      </c>
      <c r="B531" t="s">
        <v>746</v>
      </c>
      <c r="C531" t="s">
        <v>748</v>
      </c>
      <c r="D531" t="s">
        <v>751</v>
      </c>
      <c r="E531">
        <v>35</v>
      </c>
      <c r="F531" t="s">
        <v>578</v>
      </c>
      <c r="G531" s="20">
        <v>2</v>
      </c>
      <c r="H531">
        <v>2</v>
      </c>
      <c r="I531">
        <v>64.849999999999994</v>
      </c>
      <c r="J531">
        <v>91.936999999999998</v>
      </c>
      <c r="K531">
        <f>(2.097+5.147)/2</f>
        <v>3.6219999999999999</v>
      </c>
      <c r="L531" s="8">
        <v>1</v>
      </c>
      <c r="M531" s="8" t="s">
        <v>451</v>
      </c>
      <c r="N531" s="14">
        <v>5.6609999999999996</v>
      </c>
      <c r="O531" s="1" t="s">
        <v>579</v>
      </c>
      <c r="U531" s="16"/>
    </row>
    <row r="532" spans="1:21" x14ac:dyDescent="0.25">
      <c r="A532" t="s">
        <v>541</v>
      </c>
      <c r="B532" t="s">
        <v>746</v>
      </c>
      <c r="C532" t="s">
        <v>748</v>
      </c>
      <c r="D532" t="s">
        <v>751</v>
      </c>
      <c r="E532">
        <v>36</v>
      </c>
      <c r="F532" t="s">
        <v>580</v>
      </c>
      <c r="G532" s="20">
        <v>2</v>
      </c>
      <c r="H532">
        <v>2</v>
      </c>
      <c r="I532">
        <f>55.684+16.482</f>
        <v>72.165999999999997</v>
      </c>
      <c r="J532">
        <v>97.18</v>
      </c>
      <c r="K532">
        <f>(5.711+8.174)/2</f>
        <v>6.9424999999999999</v>
      </c>
      <c r="L532" s="8">
        <v>1</v>
      </c>
      <c r="M532" s="8" t="s">
        <v>451</v>
      </c>
      <c r="N532" s="14">
        <v>6.2880000000000003</v>
      </c>
    </row>
    <row r="533" spans="1:21" x14ac:dyDescent="0.25">
      <c r="A533" t="s">
        <v>541</v>
      </c>
      <c r="B533" t="s">
        <v>746</v>
      </c>
      <c r="C533" t="s">
        <v>748</v>
      </c>
      <c r="D533" t="s">
        <v>751</v>
      </c>
      <c r="E533">
        <v>37</v>
      </c>
      <c r="F533" t="s">
        <v>581</v>
      </c>
      <c r="G533" s="20">
        <v>3</v>
      </c>
      <c r="H533">
        <v>2</v>
      </c>
      <c r="I533">
        <f>55.151+21.668+17.332</f>
        <v>94.15100000000001</v>
      </c>
      <c r="J533">
        <v>79.094999999999999</v>
      </c>
      <c r="K533">
        <f>(2.923+2.678)/2</f>
        <v>2.8005</v>
      </c>
      <c r="L533" s="8">
        <v>1</v>
      </c>
      <c r="M533" s="8" t="s">
        <v>451</v>
      </c>
      <c r="N533" s="14">
        <v>28.812999999999999</v>
      </c>
      <c r="O533" s="1" t="s">
        <v>582</v>
      </c>
    </row>
    <row r="534" spans="1:21" x14ac:dyDescent="0.25">
      <c r="A534" t="s">
        <v>541</v>
      </c>
      <c r="B534" t="s">
        <v>746</v>
      </c>
      <c r="C534" t="s">
        <v>748</v>
      </c>
      <c r="D534" t="s">
        <v>751</v>
      </c>
      <c r="E534">
        <v>38</v>
      </c>
      <c r="F534" t="s">
        <v>583</v>
      </c>
      <c r="G534" s="20">
        <v>3</v>
      </c>
      <c r="H534">
        <v>2</v>
      </c>
      <c r="I534">
        <f>33.07+48.477+6.301</f>
        <v>87.847999999999999</v>
      </c>
      <c r="J534">
        <v>78.137</v>
      </c>
      <c r="K534">
        <f>(1.623+3.152+3.126+2.06)/4</f>
        <v>2.4902500000000001</v>
      </c>
      <c r="L534" s="8">
        <v>2</v>
      </c>
      <c r="M534" s="8" t="s">
        <v>454</v>
      </c>
      <c r="N534" s="14">
        <v>0</v>
      </c>
    </row>
    <row r="535" spans="1:21" x14ac:dyDescent="0.25">
      <c r="A535" t="s">
        <v>541</v>
      </c>
      <c r="B535" t="s">
        <v>746</v>
      </c>
      <c r="C535" t="s">
        <v>748</v>
      </c>
      <c r="D535" t="s">
        <v>751</v>
      </c>
      <c r="E535">
        <v>39</v>
      </c>
      <c r="F535" t="s">
        <v>584</v>
      </c>
      <c r="G535" s="20">
        <v>3</v>
      </c>
      <c r="H535">
        <v>2</v>
      </c>
      <c r="I535">
        <f>74.018+25.265+17.534</f>
        <v>116.81700000000001</v>
      </c>
      <c r="J535">
        <v>75.831000000000003</v>
      </c>
      <c r="K535">
        <f>(1.952+2.753+1.379)/3</f>
        <v>2.028</v>
      </c>
      <c r="L535" s="8">
        <v>2</v>
      </c>
      <c r="M535" s="8" t="s">
        <v>454</v>
      </c>
      <c r="N535" s="14">
        <v>0</v>
      </c>
      <c r="O535" s="1" t="s">
        <v>158</v>
      </c>
    </row>
    <row r="536" spans="1:21" x14ac:dyDescent="0.25">
      <c r="A536" t="s">
        <v>541</v>
      </c>
      <c r="B536" t="s">
        <v>746</v>
      </c>
      <c r="C536" t="s">
        <v>748</v>
      </c>
      <c r="D536" t="s">
        <v>751</v>
      </c>
      <c r="E536">
        <v>40</v>
      </c>
      <c r="F536" t="s">
        <v>585</v>
      </c>
      <c r="G536" s="20">
        <v>3</v>
      </c>
      <c r="H536">
        <v>4</v>
      </c>
      <c r="I536">
        <v>124.371</v>
      </c>
      <c r="J536">
        <v>44.533999999999999</v>
      </c>
      <c r="K536">
        <f>(1.78+0.804)/2</f>
        <v>1.292</v>
      </c>
      <c r="L536" s="8">
        <v>0</v>
      </c>
      <c r="M536" s="8" t="s">
        <v>451</v>
      </c>
      <c r="N536" s="14" t="s">
        <v>452</v>
      </c>
      <c r="O536" s="1" t="s">
        <v>158</v>
      </c>
    </row>
    <row r="537" spans="1:21" x14ac:dyDescent="0.25">
      <c r="A537" t="s">
        <v>541</v>
      </c>
      <c r="B537" t="s">
        <v>746</v>
      </c>
      <c r="C537" t="s">
        <v>748</v>
      </c>
      <c r="D537" t="s">
        <v>751</v>
      </c>
      <c r="E537">
        <v>41</v>
      </c>
      <c r="F537" t="s">
        <v>586</v>
      </c>
      <c r="G537" s="20">
        <v>3</v>
      </c>
      <c r="H537">
        <v>3</v>
      </c>
      <c r="I537">
        <f>95.573+25.027+20.43</f>
        <v>141.03</v>
      </c>
      <c r="J537">
        <v>56.271999999999998</v>
      </c>
      <c r="K537">
        <f>(2.859+2.956)/2</f>
        <v>2.9074999999999998</v>
      </c>
      <c r="L537" s="8">
        <v>2</v>
      </c>
      <c r="M537" s="8" t="s">
        <v>451</v>
      </c>
      <c r="N537" s="14">
        <v>7.226</v>
      </c>
    </row>
    <row r="538" spans="1:21" x14ac:dyDescent="0.25">
      <c r="A538" t="s">
        <v>541</v>
      </c>
      <c r="B538" t="s">
        <v>746</v>
      </c>
      <c r="C538" t="s">
        <v>748</v>
      </c>
      <c r="D538" t="s">
        <v>751</v>
      </c>
      <c r="E538">
        <v>42</v>
      </c>
      <c r="F538" t="s">
        <v>587</v>
      </c>
      <c r="G538" s="20">
        <v>3</v>
      </c>
      <c r="H538">
        <v>3</v>
      </c>
      <c r="I538">
        <f>97.169+76.891</f>
        <v>174.06</v>
      </c>
      <c r="J538">
        <v>51.692999999999998</v>
      </c>
      <c r="K538">
        <f>(2.419+1.31+1.62)/3</f>
        <v>1.7830000000000001</v>
      </c>
      <c r="L538" s="8">
        <v>1</v>
      </c>
      <c r="M538" s="8" t="s">
        <v>454</v>
      </c>
      <c r="N538" s="14">
        <v>1</v>
      </c>
    </row>
    <row r="539" spans="1:21" x14ac:dyDescent="0.25">
      <c r="A539" t="s">
        <v>541</v>
      </c>
      <c r="B539" t="s">
        <v>746</v>
      </c>
      <c r="C539" t="s">
        <v>748</v>
      </c>
      <c r="D539" t="s">
        <v>751</v>
      </c>
      <c r="E539">
        <v>43</v>
      </c>
      <c r="F539" t="s">
        <v>588</v>
      </c>
      <c r="G539" s="20">
        <v>3</v>
      </c>
      <c r="H539">
        <v>3</v>
      </c>
      <c r="I539">
        <f>90.098+17.05</f>
        <v>107.148</v>
      </c>
      <c r="J539">
        <v>48.945999999999998</v>
      </c>
      <c r="K539">
        <f>(2.186+2.085)/2</f>
        <v>2.1355</v>
      </c>
      <c r="L539" s="8">
        <v>1</v>
      </c>
      <c r="M539" s="8" t="s">
        <v>451</v>
      </c>
      <c r="N539" s="14">
        <v>30.143000000000001</v>
      </c>
    </row>
    <row r="540" spans="1:21" x14ac:dyDescent="0.25">
      <c r="A540" t="s">
        <v>541</v>
      </c>
      <c r="B540" t="s">
        <v>746</v>
      </c>
      <c r="C540" t="s">
        <v>748</v>
      </c>
      <c r="D540" t="s">
        <v>751</v>
      </c>
      <c r="E540">
        <v>47</v>
      </c>
      <c r="F540" t="s">
        <v>592</v>
      </c>
      <c r="G540" s="20">
        <v>3</v>
      </c>
      <c r="H540">
        <v>4</v>
      </c>
      <c r="I540">
        <f>85.599+44.973</f>
        <v>130.572</v>
      </c>
      <c r="J540">
        <v>26.14</v>
      </c>
      <c r="K540">
        <f>(1.445+3.152+4.762)/3</f>
        <v>3.1196666666666668</v>
      </c>
      <c r="L540" s="8">
        <v>1</v>
      </c>
      <c r="M540" s="8" t="s">
        <v>454</v>
      </c>
      <c r="N540" s="14">
        <v>0</v>
      </c>
    </row>
    <row r="541" spans="1:21" x14ac:dyDescent="0.25">
      <c r="A541" t="s">
        <v>541</v>
      </c>
      <c r="B541" t="s">
        <v>746</v>
      </c>
      <c r="C541" t="s">
        <v>748</v>
      </c>
      <c r="D541" t="s">
        <v>751</v>
      </c>
      <c r="E541">
        <v>48</v>
      </c>
      <c r="F541" t="s">
        <v>593</v>
      </c>
      <c r="G541" s="20">
        <v>3</v>
      </c>
      <c r="H541">
        <v>3</v>
      </c>
      <c r="I541">
        <f>85.524+62.811</f>
        <v>148.33500000000001</v>
      </c>
      <c r="J541">
        <v>42.154000000000003</v>
      </c>
      <c r="K541">
        <f>(1.399+1.42+1.462)/3</f>
        <v>1.4269999999999998</v>
      </c>
      <c r="L541" s="8">
        <v>1</v>
      </c>
      <c r="M541" s="8" t="s">
        <v>454</v>
      </c>
      <c r="N541" s="14">
        <v>0</v>
      </c>
    </row>
    <row r="542" spans="1:21" x14ac:dyDescent="0.25">
      <c r="A542" t="s">
        <v>541</v>
      </c>
      <c r="B542" t="s">
        <v>746</v>
      </c>
      <c r="C542" t="s">
        <v>748</v>
      </c>
      <c r="D542" t="s">
        <v>751</v>
      </c>
      <c r="E542">
        <v>49</v>
      </c>
      <c r="F542" t="s">
        <v>594</v>
      </c>
      <c r="G542" s="20">
        <v>3</v>
      </c>
      <c r="H542">
        <v>3</v>
      </c>
      <c r="I542">
        <f>114.14+47.633</f>
        <v>161.773</v>
      </c>
      <c r="J542">
        <v>55.140999999999998</v>
      </c>
      <c r="K542">
        <f>(5.465+5.824+2.83+3.517)/4</f>
        <v>4.4089999999999998</v>
      </c>
      <c r="L542" s="8">
        <v>2</v>
      </c>
      <c r="M542" s="8" t="s">
        <v>454</v>
      </c>
      <c r="N542" s="14">
        <v>0</v>
      </c>
    </row>
    <row r="543" spans="1:21" x14ac:dyDescent="0.25">
      <c r="A543" t="s">
        <v>541</v>
      </c>
      <c r="B543" t="s">
        <v>746</v>
      </c>
      <c r="C543" t="s">
        <v>748</v>
      </c>
      <c r="D543" t="s">
        <v>751</v>
      </c>
      <c r="E543">
        <v>50</v>
      </c>
      <c r="F543" t="s">
        <v>595</v>
      </c>
      <c r="G543" s="20">
        <v>3</v>
      </c>
      <c r="H543">
        <v>3</v>
      </c>
      <c r="I543">
        <v>42.703000000000003</v>
      </c>
      <c r="J543">
        <v>52.497999999999998</v>
      </c>
      <c r="K543">
        <f>(5.587+6.362)/2</f>
        <v>5.9744999999999999</v>
      </c>
      <c r="L543" s="8">
        <v>1</v>
      </c>
      <c r="M543" s="8" t="s">
        <v>451</v>
      </c>
      <c r="N543" s="14">
        <v>3.2120000000000002</v>
      </c>
    </row>
    <row r="544" spans="1:21" x14ac:dyDescent="0.25">
      <c r="A544" t="s">
        <v>541</v>
      </c>
      <c r="B544" t="s">
        <v>746</v>
      </c>
      <c r="C544" t="s">
        <v>748</v>
      </c>
      <c r="D544" t="s">
        <v>751</v>
      </c>
      <c r="E544">
        <v>51</v>
      </c>
      <c r="F544" t="s">
        <v>596</v>
      </c>
      <c r="G544" s="20">
        <v>3</v>
      </c>
      <c r="H544">
        <v>3</v>
      </c>
      <c r="I544">
        <f>98.892+19.892+3.788</f>
        <v>122.57199999999999</v>
      </c>
      <c r="J544">
        <v>58.366999999999997</v>
      </c>
      <c r="K544">
        <f>(6.181+10.56+16.554)/3</f>
        <v>11.098333333333334</v>
      </c>
      <c r="L544" s="8">
        <v>1</v>
      </c>
      <c r="M544" s="8" t="s">
        <v>454</v>
      </c>
      <c r="N544" s="14">
        <v>0</v>
      </c>
    </row>
    <row r="545" spans="1:15" x14ac:dyDescent="0.25">
      <c r="A545" t="s">
        <v>541</v>
      </c>
      <c r="B545" t="s">
        <v>746</v>
      </c>
      <c r="C545" t="s">
        <v>748</v>
      </c>
      <c r="D545" t="s">
        <v>751</v>
      </c>
      <c r="E545">
        <v>52</v>
      </c>
      <c r="F545" t="s">
        <v>597</v>
      </c>
      <c r="G545" s="20">
        <v>3</v>
      </c>
      <c r="H545">
        <v>3</v>
      </c>
      <c r="I545">
        <f>63.173+37.215</f>
        <v>100.38800000000001</v>
      </c>
      <c r="J545">
        <v>50.472000000000001</v>
      </c>
      <c r="K545">
        <f>(12.423+12.216)/2</f>
        <v>12.3195</v>
      </c>
      <c r="L545" s="8">
        <v>2</v>
      </c>
      <c r="M545" s="8" t="s">
        <v>454</v>
      </c>
      <c r="N545" s="14">
        <v>0</v>
      </c>
    </row>
    <row r="546" spans="1:15" x14ac:dyDescent="0.25">
      <c r="A546" t="s">
        <v>541</v>
      </c>
      <c r="B546" t="s">
        <v>746</v>
      </c>
      <c r="C546" t="s">
        <v>748</v>
      </c>
      <c r="D546" t="s">
        <v>751</v>
      </c>
      <c r="E546">
        <v>54</v>
      </c>
      <c r="F546" t="s">
        <v>599</v>
      </c>
      <c r="G546" s="20">
        <v>3</v>
      </c>
      <c r="H546">
        <v>3</v>
      </c>
      <c r="I546">
        <v>62.179000000000002</v>
      </c>
      <c r="J546">
        <v>61.829000000000001</v>
      </c>
      <c r="K546">
        <f>(1.464+1.859)/2</f>
        <v>1.6615</v>
      </c>
      <c r="L546" s="8">
        <v>0</v>
      </c>
      <c r="M546" s="8" t="s">
        <v>451</v>
      </c>
      <c r="N546" s="14" t="s">
        <v>452</v>
      </c>
      <c r="O546" s="1" t="s">
        <v>65</v>
      </c>
    </row>
    <row r="547" spans="1:15" x14ac:dyDescent="0.25">
      <c r="A547" t="s">
        <v>541</v>
      </c>
      <c r="B547" t="s">
        <v>746</v>
      </c>
      <c r="C547" t="s">
        <v>748</v>
      </c>
      <c r="D547" t="s">
        <v>751</v>
      </c>
      <c r="E547">
        <v>55</v>
      </c>
      <c r="F547" t="s">
        <v>600</v>
      </c>
      <c r="G547" s="20">
        <v>3</v>
      </c>
      <c r="H547">
        <v>3</v>
      </c>
      <c r="I547">
        <v>138.49</v>
      </c>
      <c r="J547">
        <v>59.503999999999998</v>
      </c>
      <c r="K547">
        <f>(2.281+1.903)/2</f>
        <v>2.0920000000000001</v>
      </c>
      <c r="L547" s="8">
        <v>0</v>
      </c>
      <c r="M547" s="8" t="s">
        <v>451</v>
      </c>
      <c r="N547" s="14" t="s">
        <v>452</v>
      </c>
      <c r="O547" s="1" t="s">
        <v>65</v>
      </c>
    </row>
    <row r="548" spans="1:15" x14ac:dyDescent="0.25">
      <c r="A548" t="s">
        <v>541</v>
      </c>
      <c r="B548" t="s">
        <v>746</v>
      </c>
      <c r="C548" t="s">
        <v>748</v>
      </c>
      <c r="D548" t="s">
        <v>751</v>
      </c>
      <c r="E548">
        <v>56</v>
      </c>
      <c r="F548" t="s">
        <v>601</v>
      </c>
      <c r="G548" s="20">
        <v>3</v>
      </c>
      <c r="H548">
        <v>3</v>
      </c>
      <c r="I548">
        <f>24.497+69</f>
        <v>93.497</v>
      </c>
      <c r="J548">
        <v>54.119</v>
      </c>
      <c r="K548">
        <f>(1.31+1.78)/2</f>
        <v>1.5449999999999999</v>
      </c>
      <c r="L548" s="8">
        <v>1</v>
      </c>
      <c r="M548" s="8" t="s">
        <v>451</v>
      </c>
      <c r="N548" s="14">
        <v>11.932</v>
      </c>
    </row>
    <row r="549" spans="1:15" x14ac:dyDescent="0.25">
      <c r="A549" t="s">
        <v>541</v>
      </c>
      <c r="B549" t="s">
        <v>746</v>
      </c>
      <c r="C549" t="s">
        <v>748</v>
      </c>
      <c r="D549" t="s">
        <v>751</v>
      </c>
      <c r="E549">
        <v>57</v>
      </c>
      <c r="F549" t="s">
        <v>602</v>
      </c>
      <c r="G549" s="20">
        <v>3</v>
      </c>
      <c r="H549">
        <v>3</v>
      </c>
      <c r="I549">
        <f>31.605+20.632+50.333</f>
        <v>102.57</v>
      </c>
      <c r="J549">
        <v>39.454999999999998</v>
      </c>
      <c r="K549">
        <f>(2.654+2.481+2.925)/3</f>
        <v>2.6866666666666661</v>
      </c>
      <c r="L549" s="8">
        <v>1</v>
      </c>
      <c r="M549" s="8" t="s">
        <v>451</v>
      </c>
      <c r="N549" s="14">
        <v>7.5919999999999996</v>
      </c>
    </row>
    <row r="550" spans="1:15" x14ac:dyDescent="0.25">
      <c r="A550" t="s">
        <v>541</v>
      </c>
      <c r="B550" t="s">
        <v>746</v>
      </c>
      <c r="C550" t="s">
        <v>748</v>
      </c>
      <c r="D550" t="s">
        <v>751</v>
      </c>
      <c r="E550">
        <v>58</v>
      </c>
      <c r="F550" t="s">
        <v>603</v>
      </c>
      <c r="G550" s="20">
        <v>3</v>
      </c>
      <c r="H550">
        <v>2</v>
      </c>
      <c r="I550">
        <f>29.552+71.592+13.406+26.342</f>
        <v>140.892</v>
      </c>
      <c r="J550">
        <v>81.022000000000006</v>
      </c>
      <c r="K550">
        <v>5.2759999999999998</v>
      </c>
      <c r="L550" s="8">
        <v>3</v>
      </c>
      <c r="M550" s="8" t="s">
        <v>451</v>
      </c>
      <c r="N550" s="14">
        <v>2.2730000000000001</v>
      </c>
    </row>
    <row r="551" spans="1:15" x14ac:dyDescent="0.25">
      <c r="A551" t="s">
        <v>541</v>
      </c>
      <c r="B551" t="s">
        <v>746</v>
      </c>
      <c r="C551" t="s">
        <v>748</v>
      </c>
      <c r="D551" t="s">
        <v>751</v>
      </c>
      <c r="E551">
        <v>59</v>
      </c>
      <c r="F551" t="s">
        <v>604</v>
      </c>
      <c r="G551" s="20">
        <v>3</v>
      </c>
      <c r="H551">
        <v>2</v>
      </c>
      <c r="I551">
        <f>72.387+46.904</f>
        <v>119.291</v>
      </c>
      <c r="J551">
        <v>75.472999999999999</v>
      </c>
      <c r="K551">
        <v>4.8630000000000004</v>
      </c>
      <c r="L551" s="8">
        <v>2</v>
      </c>
      <c r="M551" s="8" t="s">
        <v>454</v>
      </c>
      <c r="N551" s="14">
        <v>0</v>
      </c>
    </row>
    <row r="552" spans="1:15" x14ac:dyDescent="0.25">
      <c r="A552" t="s">
        <v>541</v>
      </c>
      <c r="B552" t="s">
        <v>746</v>
      </c>
      <c r="C552" t="s">
        <v>748</v>
      </c>
      <c r="D552" t="s">
        <v>751</v>
      </c>
      <c r="E552">
        <v>60</v>
      </c>
      <c r="F552" t="s">
        <v>605</v>
      </c>
      <c r="G552" s="20">
        <v>3</v>
      </c>
      <c r="H552">
        <v>3</v>
      </c>
      <c r="I552">
        <f>55.734+48.74</f>
        <v>104.474</v>
      </c>
      <c r="J552">
        <v>52.180999999999997</v>
      </c>
      <c r="K552">
        <f>(2.478+2.275+1.822)/3</f>
        <v>2.1916666666666669</v>
      </c>
      <c r="L552" s="8">
        <v>1</v>
      </c>
      <c r="M552" s="8" t="s">
        <v>454</v>
      </c>
      <c r="N552" s="14">
        <v>0</v>
      </c>
    </row>
    <row r="553" spans="1:15" x14ac:dyDescent="0.25">
      <c r="A553" t="s">
        <v>541</v>
      </c>
      <c r="B553" t="s">
        <v>746</v>
      </c>
      <c r="C553" t="s">
        <v>748</v>
      </c>
      <c r="D553" t="s">
        <v>751</v>
      </c>
      <c r="E553">
        <v>61</v>
      </c>
      <c r="F553" t="s">
        <v>606</v>
      </c>
      <c r="G553" s="20">
        <v>3</v>
      </c>
      <c r="H553">
        <v>4</v>
      </c>
      <c r="I553">
        <f>79.997+56.357+9.437</f>
        <v>145.791</v>
      </c>
      <c r="J553">
        <v>23.675999999999998</v>
      </c>
      <c r="K553">
        <f>(2.186+3.416+1.694)/3</f>
        <v>2.4319999999999999</v>
      </c>
      <c r="L553" s="8">
        <v>2</v>
      </c>
      <c r="M553" s="8" t="s">
        <v>454</v>
      </c>
      <c r="N553" s="14">
        <v>0</v>
      </c>
      <c r="O553" s="1" t="s">
        <v>158</v>
      </c>
    </row>
    <row r="554" spans="1:15" x14ac:dyDescent="0.25">
      <c r="A554" t="s">
        <v>541</v>
      </c>
      <c r="B554" t="s">
        <v>746</v>
      </c>
      <c r="C554" t="s">
        <v>748</v>
      </c>
      <c r="D554" t="s">
        <v>751</v>
      </c>
      <c r="E554">
        <v>62</v>
      </c>
      <c r="F554" t="s">
        <v>607</v>
      </c>
      <c r="G554" s="20">
        <v>3</v>
      </c>
      <c r="H554">
        <v>4</v>
      </c>
      <c r="I554">
        <f>103.215+27.297</f>
        <v>130.512</v>
      </c>
      <c r="J554">
        <v>38.390999999999998</v>
      </c>
      <c r="K554">
        <f>(2.415+1.588+1.994)/3</f>
        <v>1.9989999999999999</v>
      </c>
      <c r="L554" s="8">
        <v>1</v>
      </c>
      <c r="M554" s="8" t="s">
        <v>454</v>
      </c>
      <c r="N554" s="14">
        <v>0</v>
      </c>
    </row>
    <row r="555" spans="1:15" x14ac:dyDescent="0.25">
      <c r="A555" t="s">
        <v>541</v>
      </c>
      <c r="B555" t="s">
        <v>746</v>
      </c>
      <c r="C555" t="s">
        <v>748</v>
      </c>
      <c r="D555" t="s">
        <v>751</v>
      </c>
      <c r="E555">
        <v>63</v>
      </c>
      <c r="F555" t="s">
        <v>608</v>
      </c>
      <c r="G555" s="20">
        <v>3</v>
      </c>
      <c r="H555">
        <v>3</v>
      </c>
      <c r="I555">
        <f>113.429+5.315+27.62</f>
        <v>146.364</v>
      </c>
      <c r="J555">
        <v>55.655999999999999</v>
      </c>
      <c r="K555">
        <f>(1.746+2.373)/2</f>
        <v>2.0594999999999999</v>
      </c>
      <c r="L555" s="8">
        <v>2</v>
      </c>
      <c r="M555" s="8" t="s">
        <v>451</v>
      </c>
      <c r="N555" s="14">
        <v>28.466999999999999</v>
      </c>
    </row>
    <row r="556" spans="1:15" x14ac:dyDescent="0.25">
      <c r="A556" t="s">
        <v>541</v>
      </c>
      <c r="B556" t="s">
        <v>746</v>
      </c>
      <c r="C556" t="s">
        <v>748</v>
      </c>
      <c r="D556" t="s">
        <v>751</v>
      </c>
      <c r="E556">
        <v>64</v>
      </c>
      <c r="F556" t="s">
        <v>609</v>
      </c>
      <c r="G556" s="20">
        <v>3</v>
      </c>
      <c r="H556">
        <v>4</v>
      </c>
      <c r="I556">
        <f>101.288+52.795+37.03</f>
        <v>191.113</v>
      </c>
      <c r="J556">
        <v>25.731000000000002</v>
      </c>
      <c r="K556">
        <f>(2.444+1.27+2.131)/3</f>
        <v>1.9483333333333333</v>
      </c>
      <c r="L556" s="8">
        <v>2</v>
      </c>
      <c r="M556" s="8" t="s">
        <v>454</v>
      </c>
      <c r="N556" s="14">
        <v>0</v>
      </c>
      <c r="O556" s="1" t="s">
        <v>610</v>
      </c>
    </row>
    <row r="557" spans="1:15" x14ac:dyDescent="0.25">
      <c r="A557" t="s">
        <v>541</v>
      </c>
      <c r="B557" t="s">
        <v>746</v>
      </c>
      <c r="C557" t="s">
        <v>748</v>
      </c>
      <c r="D557" t="s">
        <v>751</v>
      </c>
      <c r="E557">
        <v>65</v>
      </c>
      <c r="F557" t="s">
        <v>611</v>
      </c>
      <c r="G557" s="20">
        <v>3</v>
      </c>
      <c r="H557">
        <v>3</v>
      </c>
      <c r="I557">
        <f>52.796+51.881</f>
        <v>104.67699999999999</v>
      </c>
      <c r="J557">
        <v>34.234999999999999</v>
      </c>
      <c r="K557">
        <f>(3.126+2.281+2.522)/3</f>
        <v>2.6430000000000002</v>
      </c>
      <c r="L557" s="8">
        <v>1</v>
      </c>
      <c r="M557" s="8" t="s">
        <v>454</v>
      </c>
      <c r="N557" s="14">
        <v>0</v>
      </c>
    </row>
    <row r="558" spans="1:15" x14ac:dyDescent="0.25">
      <c r="A558" t="s">
        <v>612</v>
      </c>
      <c r="B558" t="s">
        <v>746</v>
      </c>
      <c r="C558" t="s">
        <v>750</v>
      </c>
      <c r="D558" t="s">
        <v>751</v>
      </c>
      <c r="E558">
        <v>1</v>
      </c>
      <c r="F558" t="s">
        <v>613</v>
      </c>
      <c r="G558" s="20">
        <v>3</v>
      </c>
      <c r="H558">
        <v>4</v>
      </c>
      <c r="I558">
        <f>70.871+18.807</f>
        <v>89.677999999999997</v>
      </c>
      <c r="J558">
        <v>15.996</v>
      </c>
      <c r="K558">
        <f>(3.239+2.364+1.222)/3</f>
        <v>2.2749999999999999</v>
      </c>
      <c r="L558" s="8">
        <v>1</v>
      </c>
      <c r="M558" s="8" t="s">
        <v>454</v>
      </c>
      <c r="N558" s="14">
        <v>0</v>
      </c>
    </row>
    <row r="559" spans="1:15" x14ac:dyDescent="0.25">
      <c r="A559" t="s">
        <v>612</v>
      </c>
      <c r="B559" t="s">
        <v>746</v>
      </c>
      <c r="C559" t="s">
        <v>750</v>
      </c>
      <c r="D559" t="s">
        <v>751</v>
      </c>
      <c r="E559">
        <v>2</v>
      </c>
      <c r="F559" t="s">
        <v>614</v>
      </c>
      <c r="G559" s="20">
        <v>3</v>
      </c>
      <c r="H559">
        <v>4</v>
      </c>
      <c r="I559">
        <f>19.263+122.166</f>
        <v>141.429</v>
      </c>
      <c r="J559">
        <v>34.609000000000002</v>
      </c>
      <c r="K559">
        <f>(2.431+1.911)/2</f>
        <v>2.1710000000000003</v>
      </c>
      <c r="L559" s="8">
        <v>1</v>
      </c>
      <c r="M559" s="8" t="s">
        <v>451</v>
      </c>
      <c r="N559" s="14">
        <v>12.962999999999999</v>
      </c>
    </row>
    <row r="560" spans="1:15" x14ac:dyDescent="0.25">
      <c r="A560" t="s">
        <v>612</v>
      </c>
      <c r="B560" t="s">
        <v>746</v>
      </c>
      <c r="C560" t="s">
        <v>750</v>
      </c>
      <c r="D560" t="s">
        <v>751</v>
      </c>
      <c r="E560">
        <v>3</v>
      </c>
      <c r="F560" t="s">
        <v>615</v>
      </c>
      <c r="G560" s="20">
        <v>3</v>
      </c>
      <c r="H560">
        <v>4</v>
      </c>
      <c r="I560">
        <v>105.569</v>
      </c>
      <c r="J560">
        <v>36.604999999999997</v>
      </c>
      <c r="K560">
        <f>(1.348+1.214)/2</f>
        <v>1.2810000000000001</v>
      </c>
      <c r="L560" s="8">
        <v>1</v>
      </c>
      <c r="M560" s="8" t="s">
        <v>451</v>
      </c>
      <c r="N560" s="14">
        <v>1.415</v>
      </c>
    </row>
    <row r="561" spans="1:15" x14ac:dyDescent="0.25">
      <c r="A561" t="s">
        <v>612</v>
      </c>
      <c r="B561" t="s">
        <v>746</v>
      </c>
      <c r="C561" t="s">
        <v>750</v>
      </c>
      <c r="D561" t="s">
        <v>751</v>
      </c>
      <c r="E561">
        <v>4</v>
      </c>
      <c r="F561" t="s">
        <v>616</v>
      </c>
      <c r="G561" s="20">
        <v>3</v>
      </c>
      <c r="H561">
        <v>4</v>
      </c>
      <c r="I561">
        <f>33.939+81.875</f>
        <v>115.81399999999999</v>
      </c>
      <c r="J561">
        <v>26.356999999999999</v>
      </c>
      <c r="K561">
        <f>(2.942+2.117)/2</f>
        <v>2.5295000000000001</v>
      </c>
      <c r="L561" s="8">
        <v>1</v>
      </c>
      <c r="M561" s="8" t="s">
        <v>454</v>
      </c>
      <c r="N561" s="14">
        <v>0</v>
      </c>
    </row>
    <row r="562" spans="1:15" x14ac:dyDescent="0.25">
      <c r="A562" t="s">
        <v>612</v>
      </c>
      <c r="B562" t="s">
        <v>746</v>
      </c>
      <c r="C562" t="s">
        <v>750</v>
      </c>
      <c r="D562" t="s">
        <v>751</v>
      </c>
      <c r="E562">
        <v>5</v>
      </c>
      <c r="F562" t="s">
        <v>617</v>
      </c>
      <c r="G562" s="20">
        <v>3</v>
      </c>
      <c r="H562">
        <v>4</v>
      </c>
      <c r="I562">
        <v>149.46199999999999</v>
      </c>
      <c r="J562">
        <v>17.780999999999999</v>
      </c>
      <c r="K562">
        <f>(3.456+1.542)/2</f>
        <v>2.4990000000000001</v>
      </c>
      <c r="L562" s="8">
        <v>3</v>
      </c>
      <c r="M562" s="8" t="s">
        <v>454</v>
      </c>
      <c r="N562" s="14">
        <v>0</v>
      </c>
    </row>
    <row r="563" spans="1:15" x14ac:dyDescent="0.25">
      <c r="A563" t="s">
        <v>612</v>
      </c>
      <c r="B563" t="s">
        <v>746</v>
      </c>
      <c r="C563" t="s">
        <v>750</v>
      </c>
      <c r="D563" t="s">
        <v>751</v>
      </c>
      <c r="E563">
        <v>6</v>
      </c>
      <c r="F563" t="s">
        <v>618</v>
      </c>
      <c r="G563" s="20">
        <v>3</v>
      </c>
      <c r="H563">
        <v>4</v>
      </c>
      <c r="I563">
        <f>87.96+42.421+56.681</f>
        <v>187.06200000000001</v>
      </c>
      <c r="J563">
        <v>20.093</v>
      </c>
      <c r="K563">
        <f>(2.117+2.322)/2</f>
        <v>2.2195</v>
      </c>
      <c r="L563" s="8">
        <v>2</v>
      </c>
      <c r="M563" s="8" t="s">
        <v>451</v>
      </c>
      <c r="N563" s="14">
        <v>13.037000000000001</v>
      </c>
    </row>
    <row r="564" spans="1:15" x14ac:dyDescent="0.25">
      <c r="A564" t="s">
        <v>612</v>
      </c>
      <c r="B564" t="s">
        <v>746</v>
      </c>
      <c r="C564" t="s">
        <v>750</v>
      </c>
      <c r="D564" t="s">
        <v>751</v>
      </c>
      <c r="E564">
        <v>7</v>
      </c>
      <c r="F564" t="s">
        <v>619</v>
      </c>
      <c r="G564" s="20">
        <v>3</v>
      </c>
      <c r="H564">
        <v>3</v>
      </c>
      <c r="I564">
        <f>27.146+59.796</f>
        <v>86.942000000000007</v>
      </c>
      <c r="J564">
        <v>58.539000000000001</v>
      </c>
      <c r="K564">
        <f>(2.631+2.186)/2</f>
        <v>2.4085000000000001</v>
      </c>
      <c r="L564" s="8">
        <v>1</v>
      </c>
      <c r="M564" s="8" t="s">
        <v>454</v>
      </c>
      <c r="N564" s="14">
        <v>0</v>
      </c>
    </row>
    <row r="565" spans="1:15" x14ac:dyDescent="0.25">
      <c r="A565" t="s">
        <v>612</v>
      </c>
      <c r="B565" t="s">
        <v>746</v>
      </c>
      <c r="C565" t="s">
        <v>750</v>
      </c>
      <c r="D565" t="s">
        <v>751</v>
      </c>
      <c r="E565">
        <v>8</v>
      </c>
      <c r="F565" t="s">
        <v>620</v>
      </c>
      <c r="G565" s="20">
        <v>3</v>
      </c>
      <c r="H565">
        <v>3</v>
      </c>
      <c r="I565">
        <v>89.099000000000004</v>
      </c>
      <c r="J565">
        <v>44.277000000000001</v>
      </c>
      <c r="K565">
        <f>(3.245+3.593)/2</f>
        <v>3.419</v>
      </c>
      <c r="L565" s="8">
        <v>0</v>
      </c>
      <c r="M565" s="8" t="s">
        <v>451</v>
      </c>
      <c r="N565" s="14" t="s">
        <v>452</v>
      </c>
    </row>
    <row r="566" spans="1:15" x14ac:dyDescent="0.25">
      <c r="A566" t="s">
        <v>612</v>
      </c>
      <c r="B566" t="s">
        <v>746</v>
      </c>
      <c r="C566" t="s">
        <v>750</v>
      </c>
      <c r="D566" t="s">
        <v>751</v>
      </c>
      <c r="E566">
        <v>9</v>
      </c>
      <c r="F566" t="s">
        <v>621</v>
      </c>
      <c r="G566" s="20">
        <v>3</v>
      </c>
      <c r="H566">
        <v>3</v>
      </c>
      <c r="I566">
        <v>56.52</v>
      </c>
      <c r="J566">
        <v>54.329000000000001</v>
      </c>
      <c r="K566">
        <f>(1.564+1.422)/2</f>
        <v>1.4929999999999999</v>
      </c>
      <c r="L566" s="8">
        <v>1</v>
      </c>
      <c r="M566" s="8" t="s">
        <v>451</v>
      </c>
      <c r="N566" s="14">
        <v>7.1989999999999998</v>
      </c>
    </row>
    <row r="567" spans="1:15" x14ac:dyDescent="0.25">
      <c r="A567" t="s">
        <v>612</v>
      </c>
      <c r="B567" t="s">
        <v>746</v>
      </c>
      <c r="C567" t="s">
        <v>750</v>
      </c>
      <c r="D567" t="s">
        <v>751</v>
      </c>
      <c r="E567">
        <v>10</v>
      </c>
      <c r="F567" t="s">
        <v>622</v>
      </c>
      <c r="G567" s="20">
        <v>3</v>
      </c>
      <c r="H567">
        <v>4</v>
      </c>
      <c r="I567">
        <f>67.64+51.699</f>
        <v>119.339</v>
      </c>
      <c r="J567">
        <v>10.823</v>
      </c>
      <c r="K567">
        <f>(1.64+2.605)/2</f>
        <v>2.1225000000000001</v>
      </c>
      <c r="L567" s="8">
        <v>1</v>
      </c>
      <c r="M567" s="8" t="s">
        <v>454</v>
      </c>
      <c r="N567" s="14">
        <v>0</v>
      </c>
    </row>
    <row r="568" spans="1:15" x14ac:dyDescent="0.25">
      <c r="A568" t="s">
        <v>612</v>
      </c>
      <c r="B568" t="s">
        <v>746</v>
      </c>
      <c r="C568" t="s">
        <v>750</v>
      </c>
      <c r="D568" t="s">
        <v>751</v>
      </c>
      <c r="E568">
        <v>11</v>
      </c>
      <c r="F568" t="s">
        <v>623</v>
      </c>
      <c r="G568" s="20">
        <v>3</v>
      </c>
      <c r="H568">
        <v>3</v>
      </c>
      <c r="I568">
        <f>62.677+67.451</f>
        <v>130.12799999999999</v>
      </c>
      <c r="J568">
        <v>37.216000000000001</v>
      </c>
      <c r="K568">
        <f>(1.971+1.08+1.433)/3</f>
        <v>1.4946666666666666</v>
      </c>
      <c r="L568" s="8">
        <v>2</v>
      </c>
      <c r="M568" s="8" t="s">
        <v>454</v>
      </c>
      <c r="N568" s="14">
        <v>0</v>
      </c>
    </row>
    <row r="569" spans="1:15" x14ac:dyDescent="0.25">
      <c r="A569" t="s">
        <v>612</v>
      </c>
      <c r="B569" t="s">
        <v>746</v>
      </c>
      <c r="C569" t="s">
        <v>750</v>
      </c>
      <c r="D569" t="s">
        <v>751</v>
      </c>
      <c r="E569">
        <v>12</v>
      </c>
      <c r="F569" t="s">
        <v>624</v>
      </c>
      <c r="G569" s="20">
        <v>3</v>
      </c>
      <c r="H569">
        <v>3</v>
      </c>
      <c r="I569">
        <f>21.717+56.643+32.243</f>
        <v>110.60300000000001</v>
      </c>
      <c r="J569">
        <v>52.143999999999998</v>
      </c>
      <c r="K569">
        <f>(2.329+2.292+2.917)/3</f>
        <v>2.5126666666666666</v>
      </c>
      <c r="L569" s="8">
        <v>2</v>
      </c>
      <c r="M569" s="8" t="s">
        <v>454</v>
      </c>
      <c r="N569" s="14">
        <v>0</v>
      </c>
    </row>
    <row r="570" spans="1:15" x14ac:dyDescent="0.25">
      <c r="A570" t="s">
        <v>612</v>
      </c>
      <c r="B570" t="s">
        <v>746</v>
      </c>
      <c r="C570" t="s">
        <v>750</v>
      </c>
      <c r="D570" t="s">
        <v>751</v>
      </c>
      <c r="E570">
        <v>13</v>
      </c>
      <c r="F570" t="s">
        <v>625</v>
      </c>
      <c r="G570" s="20">
        <v>3</v>
      </c>
      <c r="H570">
        <v>4</v>
      </c>
      <c r="I570">
        <f>106.501+28.94</f>
        <v>135.441</v>
      </c>
      <c r="J570">
        <v>26.297999999999998</v>
      </c>
      <c r="K570">
        <f>(1.839+1.819)/2</f>
        <v>1.829</v>
      </c>
      <c r="L570" s="8">
        <v>1</v>
      </c>
      <c r="M570" s="8" t="s">
        <v>451</v>
      </c>
      <c r="N570" s="14">
        <v>5.45</v>
      </c>
    </row>
    <row r="571" spans="1:15" x14ac:dyDescent="0.25">
      <c r="A571" t="s">
        <v>612</v>
      </c>
      <c r="B571" t="s">
        <v>746</v>
      </c>
      <c r="C571" t="s">
        <v>750</v>
      </c>
      <c r="D571" t="s">
        <v>751</v>
      </c>
      <c r="E571">
        <v>14</v>
      </c>
      <c r="F571" t="s">
        <v>626</v>
      </c>
      <c r="G571" s="20">
        <v>3</v>
      </c>
      <c r="H571">
        <v>3</v>
      </c>
      <c r="I571">
        <f>145.869+45.903</f>
        <v>191.77199999999999</v>
      </c>
      <c r="J571">
        <v>44.415999999999997</v>
      </c>
      <c r="K571">
        <f>(2.425+2.527+4.256)/3</f>
        <v>3.0693333333333332</v>
      </c>
      <c r="L571" s="8">
        <v>1</v>
      </c>
      <c r="M571" s="8" t="s">
        <v>454</v>
      </c>
      <c r="N571" s="14">
        <v>0</v>
      </c>
    </row>
    <row r="572" spans="1:15" x14ac:dyDescent="0.25">
      <c r="A572" t="s">
        <v>612</v>
      </c>
      <c r="B572" t="s">
        <v>746</v>
      </c>
      <c r="C572" t="s">
        <v>750</v>
      </c>
      <c r="D572" t="s">
        <v>751</v>
      </c>
      <c r="E572">
        <v>15</v>
      </c>
      <c r="F572" t="s">
        <v>627</v>
      </c>
      <c r="G572" s="20">
        <v>3</v>
      </c>
      <c r="H572">
        <v>4</v>
      </c>
      <c r="I572">
        <f>82.565+10.525</f>
        <v>93.09</v>
      </c>
      <c r="J572">
        <v>19.722000000000001</v>
      </c>
      <c r="K572">
        <f>(4.313+3.562)/2</f>
        <v>3.9375</v>
      </c>
      <c r="L572" s="8">
        <v>1</v>
      </c>
      <c r="M572" s="8" t="s">
        <v>454</v>
      </c>
      <c r="N572" s="14">
        <v>25.364999999999998</v>
      </c>
    </row>
    <row r="573" spans="1:15" x14ac:dyDescent="0.25">
      <c r="A573" t="s">
        <v>612</v>
      </c>
      <c r="B573" t="s">
        <v>746</v>
      </c>
      <c r="C573" t="s">
        <v>750</v>
      </c>
      <c r="D573" t="s">
        <v>751</v>
      </c>
      <c r="E573">
        <v>16</v>
      </c>
      <c r="F573" t="s">
        <v>628</v>
      </c>
      <c r="G573" s="20">
        <v>3</v>
      </c>
      <c r="H573">
        <v>4</v>
      </c>
      <c r="I573">
        <f>124.64+26.833+16.248</f>
        <v>167.721</v>
      </c>
      <c r="J573">
        <v>32.674999999999997</v>
      </c>
      <c r="K573">
        <f>(1.398+2.136+2.398+2.772)/4</f>
        <v>2.1760000000000002</v>
      </c>
      <c r="L573" s="8">
        <v>2</v>
      </c>
      <c r="M573" s="8" t="s">
        <v>454</v>
      </c>
      <c r="N573" s="14">
        <v>0</v>
      </c>
      <c r="O573" s="1" t="s">
        <v>158</v>
      </c>
    </row>
    <row r="574" spans="1:15" x14ac:dyDescent="0.25">
      <c r="A574" t="s">
        <v>612</v>
      </c>
      <c r="B574" t="s">
        <v>746</v>
      </c>
      <c r="C574" t="s">
        <v>750</v>
      </c>
      <c r="D574" t="s">
        <v>751</v>
      </c>
      <c r="E574">
        <v>17</v>
      </c>
      <c r="F574" t="s">
        <v>629</v>
      </c>
      <c r="G574" s="20">
        <v>3</v>
      </c>
      <c r="H574">
        <v>3</v>
      </c>
      <c r="I574">
        <f>87.783+36.916</f>
        <v>124.699</v>
      </c>
      <c r="J574">
        <v>22.384</v>
      </c>
      <c r="K574">
        <f>(2.131+1.399)/2</f>
        <v>1.7649999999999999</v>
      </c>
      <c r="L574" s="8">
        <v>1</v>
      </c>
      <c r="M574" s="8" t="s">
        <v>451</v>
      </c>
      <c r="N574" s="14">
        <v>17.547999999999998</v>
      </c>
    </row>
    <row r="575" spans="1:15" x14ac:dyDescent="0.25">
      <c r="A575" t="s">
        <v>612</v>
      </c>
      <c r="B575" t="s">
        <v>746</v>
      </c>
      <c r="C575" t="s">
        <v>750</v>
      </c>
      <c r="D575" t="s">
        <v>751</v>
      </c>
      <c r="E575">
        <v>18</v>
      </c>
      <c r="F575" t="s">
        <v>630</v>
      </c>
      <c r="G575" s="20">
        <v>3</v>
      </c>
      <c r="H575">
        <v>4</v>
      </c>
      <c r="I575">
        <f>132.491+19.892</f>
        <v>152.38300000000001</v>
      </c>
      <c r="J575">
        <v>35.097999999999999</v>
      </c>
      <c r="K575">
        <f>(1.629+3.106+2.217)/3</f>
        <v>2.3173333333333335</v>
      </c>
      <c r="L575" s="8">
        <v>1</v>
      </c>
      <c r="M575" s="8" t="s">
        <v>454</v>
      </c>
      <c r="N575" s="14">
        <v>0</v>
      </c>
    </row>
    <row r="576" spans="1:15" x14ac:dyDescent="0.25">
      <c r="A576" t="s">
        <v>612</v>
      </c>
      <c r="B576" t="s">
        <v>746</v>
      </c>
      <c r="C576" t="s">
        <v>750</v>
      </c>
      <c r="D576" t="s">
        <v>751</v>
      </c>
      <c r="E576">
        <v>19</v>
      </c>
      <c r="F576" t="s">
        <v>631</v>
      </c>
      <c r="G576" s="20">
        <v>3</v>
      </c>
      <c r="H576">
        <v>4</v>
      </c>
      <c r="I576">
        <v>127.27800000000001</v>
      </c>
      <c r="J576">
        <v>25.268999999999998</v>
      </c>
      <c r="K576">
        <f>(2.068+2.714)/2</f>
        <v>2.391</v>
      </c>
      <c r="L576" s="8">
        <v>0</v>
      </c>
      <c r="M576" s="8" t="s">
        <v>451</v>
      </c>
      <c r="N576" s="14" t="s">
        <v>452</v>
      </c>
    </row>
    <row r="577" spans="1:15" x14ac:dyDescent="0.25">
      <c r="A577" t="s">
        <v>612</v>
      </c>
      <c r="B577" t="s">
        <v>746</v>
      </c>
      <c r="C577" t="s">
        <v>750</v>
      </c>
      <c r="D577" t="s">
        <v>751</v>
      </c>
      <c r="E577">
        <v>20</v>
      </c>
      <c r="F577" t="s">
        <v>632</v>
      </c>
      <c r="G577" s="20">
        <v>3</v>
      </c>
      <c r="H577">
        <v>4</v>
      </c>
      <c r="I577">
        <f>66.149+49.522</f>
        <v>115.67099999999999</v>
      </c>
      <c r="J577">
        <v>21.382000000000001</v>
      </c>
      <c r="K577">
        <f>(2.876+2.444+2.312)/3</f>
        <v>2.544</v>
      </c>
      <c r="L577" s="8">
        <v>1</v>
      </c>
      <c r="M577" s="8" t="s">
        <v>454</v>
      </c>
      <c r="N577" s="14">
        <v>0</v>
      </c>
    </row>
    <row r="578" spans="1:15" x14ac:dyDescent="0.25">
      <c r="A578" t="s">
        <v>612</v>
      </c>
      <c r="B578" t="s">
        <v>746</v>
      </c>
      <c r="C578" t="s">
        <v>750</v>
      </c>
      <c r="D578" t="s">
        <v>751</v>
      </c>
      <c r="E578">
        <v>21</v>
      </c>
      <c r="F578" t="s">
        <v>633</v>
      </c>
      <c r="G578" s="20">
        <v>3</v>
      </c>
      <c r="H578">
        <v>4</v>
      </c>
      <c r="I578">
        <v>139.25200000000001</v>
      </c>
      <c r="J578">
        <v>33.555</v>
      </c>
      <c r="K578">
        <f>(1.977+2.304)/2</f>
        <v>2.1404999999999998</v>
      </c>
      <c r="L578" s="8">
        <v>0</v>
      </c>
      <c r="M578" s="8" t="s">
        <v>451</v>
      </c>
      <c r="N578" s="14" t="s">
        <v>452</v>
      </c>
    </row>
    <row r="579" spans="1:15" x14ac:dyDescent="0.25">
      <c r="A579" t="s">
        <v>612</v>
      </c>
      <c r="B579" t="s">
        <v>746</v>
      </c>
      <c r="C579" t="s">
        <v>750</v>
      </c>
      <c r="D579" t="s">
        <v>751</v>
      </c>
      <c r="E579">
        <v>22</v>
      </c>
      <c r="F579" t="s">
        <v>634</v>
      </c>
      <c r="G579" s="20">
        <v>3</v>
      </c>
      <c r="H579">
        <v>4</v>
      </c>
      <c r="I579">
        <v>84.052000000000007</v>
      </c>
      <c r="J579">
        <v>12.169</v>
      </c>
      <c r="K579">
        <f>(1.329+2.085)/2</f>
        <v>1.7069999999999999</v>
      </c>
      <c r="L579" s="8">
        <v>0</v>
      </c>
      <c r="M579" s="8" t="s">
        <v>451</v>
      </c>
      <c r="N579" s="14" t="s">
        <v>452</v>
      </c>
    </row>
    <row r="580" spans="1:15" x14ac:dyDescent="0.25">
      <c r="A580" t="s">
        <v>612</v>
      </c>
      <c r="B580" t="s">
        <v>746</v>
      </c>
      <c r="C580" t="s">
        <v>750</v>
      </c>
      <c r="D580" t="s">
        <v>751</v>
      </c>
      <c r="E580">
        <v>23</v>
      </c>
      <c r="F580" t="s">
        <v>635</v>
      </c>
      <c r="G580" s="20">
        <v>3</v>
      </c>
      <c r="H580">
        <v>4</v>
      </c>
      <c r="I580">
        <v>140.703</v>
      </c>
      <c r="J580">
        <v>31.934999999999999</v>
      </c>
      <c r="K580">
        <f>(2.548+1.715)/2</f>
        <v>2.1315</v>
      </c>
      <c r="L580" s="8">
        <v>0</v>
      </c>
      <c r="M580" s="8" t="s">
        <v>451</v>
      </c>
      <c r="N580" s="14" t="s">
        <v>452</v>
      </c>
      <c r="O580" s="1" t="s">
        <v>158</v>
      </c>
    </row>
    <row r="581" spans="1:15" x14ac:dyDescent="0.25">
      <c r="A581" t="s">
        <v>612</v>
      </c>
      <c r="B581" t="s">
        <v>746</v>
      </c>
      <c r="C581" t="s">
        <v>750</v>
      </c>
      <c r="D581" t="s">
        <v>751</v>
      </c>
      <c r="E581">
        <v>24</v>
      </c>
      <c r="F581" t="s">
        <v>636</v>
      </c>
      <c r="G581" s="20">
        <v>3</v>
      </c>
      <c r="H581">
        <v>4</v>
      </c>
      <c r="I581">
        <f>108.917+16.035</f>
        <v>124.952</v>
      </c>
      <c r="J581">
        <v>25.274000000000001</v>
      </c>
      <c r="K581">
        <f>(2.855+2.29+2.452)/3</f>
        <v>2.5323333333333333</v>
      </c>
      <c r="L581" s="8">
        <v>1</v>
      </c>
      <c r="M581" s="8" t="s">
        <v>454</v>
      </c>
      <c r="N581" s="14">
        <v>0</v>
      </c>
      <c r="O581" s="1" t="s">
        <v>158</v>
      </c>
    </row>
    <row r="582" spans="1:15" x14ac:dyDescent="0.25">
      <c r="A582" t="s">
        <v>612</v>
      </c>
      <c r="B582" t="s">
        <v>746</v>
      </c>
      <c r="C582" t="s">
        <v>750</v>
      </c>
      <c r="D582" t="s">
        <v>751</v>
      </c>
      <c r="E582">
        <v>25</v>
      </c>
      <c r="F582" t="s">
        <v>637</v>
      </c>
      <c r="G582" s="20">
        <v>3</v>
      </c>
      <c r="H582">
        <v>3</v>
      </c>
      <c r="I582">
        <v>51.134</v>
      </c>
      <c r="J582">
        <v>53.587000000000003</v>
      </c>
      <c r="K582">
        <v>4.6079999999999997</v>
      </c>
      <c r="L582" s="8">
        <v>0</v>
      </c>
      <c r="M582" s="8" t="s">
        <v>451</v>
      </c>
      <c r="N582" s="14" t="s">
        <v>452</v>
      </c>
    </row>
    <row r="583" spans="1:15" x14ac:dyDescent="0.25">
      <c r="A583" t="s">
        <v>612</v>
      </c>
      <c r="B583" t="s">
        <v>746</v>
      </c>
      <c r="C583" t="s">
        <v>750</v>
      </c>
      <c r="D583" t="s">
        <v>751</v>
      </c>
      <c r="E583">
        <v>26</v>
      </c>
      <c r="F583" t="s">
        <v>638</v>
      </c>
      <c r="G583" s="20">
        <v>3</v>
      </c>
      <c r="H583">
        <v>4</v>
      </c>
      <c r="I583">
        <f>89.358+54.081</f>
        <v>143.43900000000002</v>
      </c>
      <c r="J583">
        <v>26.634</v>
      </c>
      <c r="K583">
        <f>(1.71+1.569+1.895)/3</f>
        <v>1.7246666666666666</v>
      </c>
      <c r="L583" s="8">
        <v>2</v>
      </c>
      <c r="M583" s="8" t="s">
        <v>454</v>
      </c>
      <c r="N583" s="14">
        <v>0</v>
      </c>
    </row>
    <row r="584" spans="1:15" x14ac:dyDescent="0.25">
      <c r="A584" t="s">
        <v>612</v>
      </c>
      <c r="B584" t="s">
        <v>746</v>
      </c>
      <c r="C584" t="s">
        <v>750</v>
      </c>
      <c r="D584" t="s">
        <v>751</v>
      </c>
      <c r="E584">
        <v>27</v>
      </c>
      <c r="F584" t="s">
        <v>639</v>
      </c>
      <c r="G584" s="20">
        <v>3</v>
      </c>
      <c r="H584">
        <v>3</v>
      </c>
      <c r="I584">
        <v>116.45</v>
      </c>
      <c r="J584">
        <v>38.597999999999999</v>
      </c>
      <c r="K584">
        <f>(2.092+1.449)/2</f>
        <v>1.7705000000000002</v>
      </c>
      <c r="L584" s="8">
        <v>1</v>
      </c>
      <c r="M584" s="8" t="s">
        <v>451</v>
      </c>
      <c r="N584" s="14">
        <v>16.126999999999999</v>
      </c>
    </row>
    <row r="585" spans="1:15" x14ac:dyDescent="0.25">
      <c r="A585" t="s">
        <v>612</v>
      </c>
      <c r="B585" t="s">
        <v>746</v>
      </c>
      <c r="C585" t="s">
        <v>750</v>
      </c>
      <c r="D585" t="s">
        <v>751</v>
      </c>
      <c r="E585">
        <v>28</v>
      </c>
      <c r="F585" t="s">
        <v>640</v>
      </c>
      <c r="G585" s="20">
        <v>3</v>
      </c>
      <c r="H585">
        <v>4</v>
      </c>
      <c r="I585">
        <f>82.021+55.055+20.854</f>
        <v>157.93</v>
      </c>
      <c r="J585">
        <v>13.356999999999999</v>
      </c>
      <c r="K585">
        <f>(2.15+2.841+1.145)/3</f>
        <v>2.0453333333333332</v>
      </c>
      <c r="L585" s="8">
        <v>2</v>
      </c>
      <c r="M585" s="8" t="s">
        <v>454</v>
      </c>
      <c r="N585" s="14">
        <v>0</v>
      </c>
    </row>
    <row r="586" spans="1:15" x14ac:dyDescent="0.25">
      <c r="A586" t="s">
        <v>612</v>
      </c>
      <c r="B586" t="s">
        <v>746</v>
      </c>
      <c r="C586" t="s">
        <v>750</v>
      </c>
      <c r="D586" t="s">
        <v>751</v>
      </c>
      <c r="E586">
        <v>29</v>
      </c>
      <c r="F586" t="s">
        <v>641</v>
      </c>
      <c r="G586" s="20">
        <v>3</v>
      </c>
      <c r="H586">
        <v>4</v>
      </c>
      <c r="I586">
        <f>144.517+75.505+40.977</f>
        <v>260.99899999999997</v>
      </c>
      <c r="J586">
        <v>28.196000000000002</v>
      </c>
      <c r="K586">
        <f>(2.527+3.242+2.049)/3</f>
        <v>2.6059999999999999</v>
      </c>
      <c r="L586" s="8">
        <v>2</v>
      </c>
      <c r="M586" s="8" t="s">
        <v>454</v>
      </c>
      <c r="N586" s="14">
        <v>0</v>
      </c>
      <c r="O586" s="1" t="s">
        <v>158</v>
      </c>
    </row>
    <row r="587" spans="1:15" x14ac:dyDescent="0.25">
      <c r="A587" t="s">
        <v>612</v>
      </c>
      <c r="B587" t="s">
        <v>746</v>
      </c>
      <c r="C587" t="s">
        <v>750</v>
      </c>
      <c r="D587" t="s">
        <v>751</v>
      </c>
      <c r="E587">
        <v>30</v>
      </c>
      <c r="F587" t="s">
        <v>642</v>
      </c>
      <c r="G587" s="20">
        <v>3</v>
      </c>
      <c r="H587">
        <v>4</v>
      </c>
      <c r="I587">
        <f>96.497+30.192+14.584+10.832+5.487</f>
        <v>157.59199999999998</v>
      </c>
      <c r="J587">
        <v>31.050999999999998</v>
      </c>
      <c r="K587">
        <f>(3.752+3.336+2.196)/3</f>
        <v>3.0946666666666665</v>
      </c>
      <c r="L587" s="8">
        <v>4</v>
      </c>
      <c r="M587" s="8" t="s">
        <v>454</v>
      </c>
      <c r="N587" s="14">
        <v>0</v>
      </c>
    </row>
    <row r="588" spans="1:15" x14ac:dyDescent="0.25">
      <c r="A588" t="s">
        <v>612</v>
      </c>
      <c r="B588" t="s">
        <v>746</v>
      </c>
      <c r="C588" t="s">
        <v>750</v>
      </c>
      <c r="D588" t="s">
        <v>751</v>
      </c>
      <c r="E588">
        <v>31</v>
      </c>
      <c r="F588" t="s">
        <v>643</v>
      </c>
      <c r="G588" s="20">
        <v>3</v>
      </c>
      <c r="H588">
        <v>3</v>
      </c>
      <c r="I588">
        <f>56.11+11.124+45.17</f>
        <v>112.404</v>
      </c>
      <c r="J588">
        <v>46.216999999999999</v>
      </c>
      <c r="K588">
        <f>(2.68+3.641)/2</f>
        <v>3.1604999999999999</v>
      </c>
      <c r="L588" s="8">
        <v>2</v>
      </c>
      <c r="M588" s="8" t="s">
        <v>454</v>
      </c>
      <c r="N588" s="14">
        <v>0</v>
      </c>
      <c r="O588" s="1" t="s">
        <v>65</v>
      </c>
    </row>
    <row r="589" spans="1:15" x14ac:dyDescent="0.25">
      <c r="A589" t="s">
        <v>612</v>
      </c>
      <c r="B589" t="s">
        <v>746</v>
      </c>
      <c r="C589" t="s">
        <v>750</v>
      </c>
      <c r="D589" t="s">
        <v>751</v>
      </c>
      <c r="E589">
        <v>33</v>
      </c>
      <c r="F589" t="s">
        <v>645</v>
      </c>
      <c r="G589" s="20">
        <v>3</v>
      </c>
      <c r="H589">
        <v>3</v>
      </c>
      <c r="I589">
        <f>91.176+7.875</f>
        <v>99.051000000000002</v>
      </c>
      <c r="J589">
        <v>53.048000000000002</v>
      </c>
      <c r="K589">
        <f>(3.685+3.409)/2</f>
        <v>3.5469999999999997</v>
      </c>
      <c r="L589" s="8">
        <v>1</v>
      </c>
      <c r="M589" s="8" t="s">
        <v>454</v>
      </c>
      <c r="N589" s="14">
        <v>0</v>
      </c>
    </row>
    <row r="590" spans="1:15" x14ac:dyDescent="0.25">
      <c r="A590" t="s">
        <v>612</v>
      </c>
      <c r="B590" t="s">
        <v>746</v>
      </c>
      <c r="C590" t="s">
        <v>750</v>
      </c>
      <c r="D590" t="s">
        <v>751</v>
      </c>
      <c r="E590">
        <v>34</v>
      </c>
      <c r="F590" t="s">
        <v>646</v>
      </c>
      <c r="G590" s="20">
        <v>3</v>
      </c>
      <c r="H590">
        <v>4</v>
      </c>
      <c r="I590">
        <f>91.652+30.774+6.755</f>
        <v>129.18100000000001</v>
      </c>
      <c r="J590">
        <v>19.402000000000001</v>
      </c>
      <c r="K590">
        <f>(1.819+2.049)/2</f>
        <v>1.9339999999999999</v>
      </c>
      <c r="L590" s="8">
        <v>2</v>
      </c>
      <c r="M590" s="8" t="s">
        <v>451</v>
      </c>
      <c r="N590" s="14">
        <v>14.234999999999999</v>
      </c>
    </row>
    <row r="591" spans="1:15" x14ac:dyDescent="0.25">
      <c r="A591" t="s">
        <v>612</v>
      </c>
      <c r="B591" t="s">
        <v>746</v>
      </c>
      <c r="C591" t="s">
        <v>750</v>
      </c>
      <c r="D591" t="s">
        <v>751</v>
      </c>
      <c r="E591">
        <v>35</v>
      </c>
      <c r="F591" t="s">
        <v>647</v>
      </c>
      <c r="G591" s="20">
        <v>3</v>
      </c>
      <c r="H591">
        <v>4</v>
      </c>
      <c r="I591">
        <f>128.529+10.038+56.952</f>
        <v>195.51900000000001</v>
      </c>
      <c r="J591">
        <v>28.853000000000002</v>
      </c>
      <c r="K591">
        <f>(1.588+1.27+2.034+2.219)/4</f>
        <v>1.7777499999999997</v>
      </c>
      <c r="L591" s="8">
        <v>3</v>
      </c>
      <c r="M591" s="8" t="s">
        <v>454</v>
      </c>
      <c r="N591" s="14">
        <v>0</v>
      </c>
    </row>
    <row r="592" spans="1:15" x14ac:dyDescent="0.25">
      <c r="A592" t="s">
        <v>612</v>
      </c>
      <c r="B592" t="s">
        <v>746</v>
      </c>
      <c r="C592" t="s">
        <v>750</v>
      </c>
      <c r="D592" t="s">
        <v>751</v>
      </c>
      <c r="E592">
        <v>36</v>
      </c>
      <c r="F592" t="s">
        <v>648</v>
      </c>
      <c r="G592" s="20">
        <v>3</v>
      </c>
      <c r="H592">
        <v>3</v>
      </c>
      <c r="I592">
        <f>62.683+32.395</f>
        <v>95.078000000000003</v>
      </c>
      <c r="J592">
        <v>36.936</v>
      </c>
      <c r="K592">
        <f>(4.365+2.692)/2</f>
        <v>3.5285000000000002</v>
      </c>
      <c r="L592" s="8">
        <v>1</v>
      </c>
      <c r="M592" s="8" t="s">
        <v>454</v>
      </c>
      <c r="N592" s="14">
        <v>0</v>
      </c>
    </row>
    <row r="593" spans="1:15" x14ac:dyDescent="0.25">
      <c r="A593" t="s">
        <v>612</v>
      </c>
      <c r="B593" t="s">
        <v>746</v>
      </c>
      <c r="C593" t="s">
        <v>750</v>
      </c>
      <c r="D593" t="s">
        <v>751</v>
      </c>
      <c r="E593">
        <v>37</v>
      </c>
      <c r="F593" t="s">
        <v>649</v>
      </c>
      <c r="G593" s="20">
        <v>3</v>
      </c>
      <c r="H593">
        <v>3</v>
      </c>
      <c r="I593">
        <f>74.856+34.638</f>
        <v>109.494</v>
      </c>
      <c r="J593">
        <v>44.354999999999997</v>
      </c>
      <c r="K593">
        <f>(3.036+4.382+2.277+2.875)/4</f>
        <v>3.1425000000000001</v>
      </c>
      <c r="L593" s="8">
        <v>2</v>
      </c>
      <c r="M593" s="8" t="s">
        <v>454</v>
      </c>
      <c r="N593" s="14">
        <v>0</v>
      </c>
    </row>
    <row r="594" spans="1:15" x14ac:dyDescent="0.25">
      <c r="A594" t="s">
        <v>612</v>
      </c>
      <c r="B594" t="s">
        <v>746</v>
      </c>
      <c r="C594" t="s">
        <v>750</v>
      </c>
      <c r="D594" t="s">
        <v>751</v>
      </c>
      <c r="E594">
        <v>38</v>
      </c>
      <c r="F594" t="s">
        <v>650</v>
      </c>
      <c r="G594" s="20">
        <v>3</v>
      </c>
      <c r="H594">
        <v>3</v>
      </c>
      <c r="I594">
        <f>62.946+30.814</f>
        <v>93.759999999999991</v>
      </c>
      <c r="J594">
        <v>51.183999999999997</v>
      </c>
      <c r="K594">
        <f>(1.741+4.59+3.092+3.183)/4</f>
        <v>3.1515</v>
      </c>
      <c r="L594" s="8">
        <v>2</v>
      </c>
      <c r="M594" s="8" t="s">
        <v>454</v>
      </c>
      <c r="N594" s="14">
        <v>0</v>
      </c>
    </row>
    <row r="595" spans="1:15" x14ac:dyDescent="0.25">
      <c r="A595" t="s">
        <v>612</v>
      </c>
      <c r="B595" t="s">
        <v>746</v>
      </c>
      <c r="C595" t="s">
        <v>750</v>
      </c>
      <c r="D595" t="s">
        <v>751</v>
      </c>
      <c r="E595">
        <v>39</v>
      </c>
      <c r="F595" t="s">
        <v>651</v>
      </c>
      <c r="G595" s="20">
        <v>3</v>
      </c>
      <c r="H595">
        <v>3</v>
      </c>
      <c r="I595">
        <f>120.403+14.029</f>
        <v>134.43200000000002</v>
      </c>
      <c r="J595">
        <v>37.542999999999999</v>
      </c>
      <c r="K595">
        <f>(4.066+2.425)/2</f>
        <v>3.2454999999999998</v>
      </c>
      <c r="L595" s="8">
        <v>1</v>
      </c>
      <c r="M595" s="8" t="s">
        <v>454</v>
      </c>
      <c r="N595" s="14">
        <v>0</v>
      </c>
    </row>
    <row r="596" spans="1:15" x14ac:dyDescent="0.25">
      <c r="A596" t="s">
        <v>612</v>
      </c>
      <c r="B596" t="s">
        <v>746</v>
      </c>
      <c r="C596" t="s">
        <v>750</v>
      </c>
      <c r="D596" t="s">
        <v>751</v>
      </c>
      <c r="E596">
        <v>40</v>
      </c>
      <c r="F596" t="s">
        <v>652</v>
      </c>
      <c r="G596" s="20">
        <v>3</v>
      </c>
      <c r="H596">
        <v>3</v>
      </c>
      <c r="I596">
        <f>85.037+19.891</f>
        <v>104.928</v>
      </c>
      <c r="J596">
        <v>64.974000000000004</v>
      </c>
      <c r="K596">
        <f>(2.452+4.18)/2</f>
        <v>3.3159999999999998</v>
      </c>
      <c r="L596" s="8">
        <v>1</v>
      </c>
      <c r="M596" s="8" t="s">
        <v>454</v>
      </c>
      <c r="N596" s="14">
        <v>0</v>
      </c>
    </row>
    <row r="597" spans="1:15" x14ac:dyDescent="0.25">
      <c r="A597" t="s">
        <v>612</v>
      </c>
      <c r="B597" t="s">
        <v>746</v>
      </c>
      <c r="C597" t="s">
        <v>750</v>
      </c>
      <c r="D597" t="s">
        <v>751</v>
      </c>
      <c r="E597">
        <v>41</v>
      </c>
      <c r="F597" t="s">
        <v>653</v>
      </c>
      <c r="G597" s="20">
        <v>3</v>
      </c>
      <c r="H597">
        <v>4</v>
      </c>
      <c r="I597">
        <f>81.543+36.634</f>
        <v>118.17700000000001</v>
      </c>
      <c r="J597">
        <v>21.218</v>
      </c>
      <c r="K597">
        <f>(2.573+2.415+1.868)/3</f>
        <v>2.2853333333333334</v>
      </c>
      <c r="L597" s="8">
        <v>1</v>
      </c>
      <c r="M597" s="8" t="s">
        <v>454</v>
      </c>
      <c r="N597" s="14">
        <v>0</v>
      </c>
    </row>
    <row r="598" spans="1:15" x14ac:dyDescent="0.25">
      <c r="A598" t="s">
        <v>612</v>
      </c>
      <c r="B598" t="s">
        <v>746</v>
      </c>
      <c r="C598" t="s">
        <v>750</v>
      </c>
      <c r="D598" t="s">
        <v>751</v>
      </c>
      <c r="E598">
        <v>42</v>
      </c>
      <c r="F598" t="s">
        <v>654</v>
      </c>
      <c r="G598" s="20">
        <v>3</v>
      </c>
      <c r="H598">
        <v>4</v>
      </c>
      <c r="I598">
        <v>70.926000000000002</v>
      </c>
      <c r="J598">
        <v>25.710999999999999</v>
      </c>
      <c r="K598">
        <f>(2.485+2.557)/2</f>
        <v>2.5209999999999999</v>
      </c>
      <c r="L598" s="8">
        <v>0</v>
      </c>
      <c r="M598" s="8" t="s">
        <v>451</v>
      </c>
      <c r="N598" s="14" t="s">
        <v>452</v>
      </c>
    </row>
    <row r="599" spans="1:15" x14ac:dyDescent="0.25">
      <c r="A599" t="s">
        <v>1</v>
      </c>
      <c r="B599" t="s">
        <v>163</v>
      </c>
      <c r="D599" t="s">
        <v>751</v>
      </c>
      <c r="E599">
        <v>1</v>
      </c>
      <c r="F599" t="s">
        <v>2</v>
      </c>
      <c r="G599" s="20">
        <v>3</v>
      </c>
      <c r="H599">
        <v>4</v>
      </c>
      <c r="I599">
        <f>84.916+17.561</f>
        <v>102.477</v>
      </c>
      <c r="J599">
        <v>21.077000000000002</v>
      </c>
      <c r="K599">
        <f>(3.626+2.678)/2</f>
        <v>3.1520000000000001</v>
      </c>
      <c r="L599" s="8">
        <v>1</v>
      </c>
      <c r="M599" s="8" t="s">
        <v>451</v>
      </c>
      <c r="N599" s="14">
        <v>12.577</v>
      </c>
    </row>
    <row r="600" spans="1:15" x14ac:dyDescent="0.25">
      <c r="A600" t="s">
        <v>1</v>
      </c>
      <c r="B600" t="s">
        <v>163</v>
      </c>
      <c r="D600" t="s">
        <v>751</v>
      </c>
      <c r="E600">
        <v>2</v>
      </c>
      <c r="F600" t="s">
        <v>3</v>
      </c>
      <c r="G600" s="20">
        <v>3</v>
      </c>
      <c r="H600">
        <v>4</v>
      </c>
      <c r="I600">
        <f>88.016+35.288</f>
        <v>123.304</v>
      </c>
      <c r="J600">
        <v>25.768000000000001</v>
      </c>
      <c r="K600">
        <f>(2.763+3.158+2.418)/3</f>
        <v>2.7796666666666661</v>
      </c>
      <c r="L600" s="8">
        <v>1</v>
      </c>
      <c r="M600" s="8" t="s">
        <v>454</v>
      </c>
      <c r="N600" s="14">
        <v>0</v>
      </c>
    </row>
    <row r="601" spans="1:15" x14ac:dyDescent="0.25">
      <c r="A601" t="s">
        <v>1</v>
      </c>
      <c r="B601" t="s">
        <v>163</v>
      </c>
      <c r="D601" t="s">
        <v>751</v>
      </c>
      <c r="E601">
        <v>3</v>
      </c>
      <c r="F601" t="s">
        <v>4</v>
      </c>
      <c r="G601" s="20">
        <v>3</v>
      </c>
      <c r="H601">
        <v>3</v>
      </c>
      <c r="I601">
        <f>108.825+18.708+21.985</f>
        <v>149.518</v>
      </c>
      <c r="J601">
        <v>42.143000000000001</v>
      </c>
      <c r="K601">
        <f>(3.368+2.228)/2</f>
        <v>2.798</v>
      </c>
      <c r="L601" s="8">
        <v>2</v>
      </c>
      <c r="M601" s="8" t="s">
        <v>454</v>
      </c>
      <c r="N601" s="14">
        <v>0</v>
      </c>
      <c r="O601" s="1" t="s">
        <v>174</v>
      </c>
    </row>
    <row r="602" spans="1:15" x14ac:dyDescent="0.25">
      <c r="A602" t="s">
        <v>1</v>
      </c>
      <c r="B602" t="s">
        <v>163</v>
      </c>
      <c r="D602" t="s">
        <v>751</v>
      </c>
      <c r="E602">
        <v>4</v>
      </c>
      <c r="F602" t="s">
        <v>6</v>
      </c>
      <c r="G602" s="20">
        <v>3</v>
      </c>
      <c r="H602">
        <v>3</v>
      </c>
      <c r="I602">
        <f>88.042+36.358</f>
        <v>124.4</v>
      </c>
      <c r="J602">
        <v>45.264000000000003</v>
      </c>
      <c r="K602">
        <f>(2.114+2.033+2.836)/3</f>
        <v>2.327666666666667</v>
      </c>
      <c r="L602" s="8">
        <v>1</v>
      </c>
      <c r="M602" s="8" t="s">
        <v>454</v>
      </c>
      <c r="N602" s="14">
        <v>0</v>
      </c>
      <c r="O602" s="1" t="s">
        <v>175</v>
      </c>
    </row>
    <row r="603" spans="1:15" x14ac:dyDescent="0.25">
      <c r="A603" t="s">
        <v>1</v>
      </c>
      <c r="B603" t="s">
        <v>163</v>
      </c>
      <c r="D603" t="s">
        <v>751</v>
      </c>
      <c r="E603">
        <v>5</v>
      </c>
      <c r="F603" t="s">
        <v>7</v>
      </c>
      <c r="G603" s="20">
        <v>3</v>
      </c>
      <c r="H603">
        <v>4</v>
      </c>
      <c r="I603">
        <f>43.555+84.482</f>
        <v>128.03700000000001</v>
      </c>
      <c r="J603">
        <v>27.423999999999999</v>
      </c>
      <c r="K603">
        <f>(2.884+2.853)/2</f>
        <v>2.8685</v>
      </c>
      <c r="L603" s="8">
        <v>2</v>
      </c>
      <c r="M603" s="8" t="s">
        <v>454</v>
      </c>
      <c r="N603" s="14">
        <v>0</v>
      </c>
    </row>
    <row r="604" spans="1:15" x14ac:dyDescent="0.25">
      <c r="A604" t="s">
        <v>1</v>
      </c>
      <c r="B604" t="s">
        <v>163</v>
      </c>
      <c r="D604" t="s">
        <v>751</v>
      </c>
      <c r="E604">
        <v>6</v>
      </c>
      <c r="F604" t="s">
        <v>8</v>
      </c>
      <c r="G604" s="20">
        <v>3</v>
      </c>
      <c r="H604">
        <v>4</v>
      </c>
      <c r="I604">
        <f>83.888+80.101</f>
        <v>163.989</v>
      </c>
      <c r="J604">
        <v>22.338000000000001</v>
      </c>
      <c r="K604">
        <f>(2.4+1.796)/2</f>
        <v>2.0979999999999999</v>
      </c>
      <c r="L604" s="8">
        <v>1</v>
      </c>
      <c r="M604" s="8" t="s">
        <v>454</v>
      </c>
      <c r="N604" s="14">
        <v>0</v>
      </c>
    </row>
    <row r="605" spans="1:15" x14ac:dyDescent="0.25">
      <c r="A605" t="s">
        <v>1</v>
      </c>
      <c r="B605" t="s">
        <v>163</v>
      </c>
      <c r="D605" t="s">
        <v>751</v>
      </c>
      <c r="E605">
        <v>7</v>
      </c>
      <c r="F605" t="s">
        <v>9</v>
      </c>
      <c r="G605" s="20">
        <v>3</v>
      </c>
      <c r="H605">
        <v>4</v>
      </c>
      <c r="I605">
        <f>101.091+42.585</f>
        <v>143.67599999999999</v>
      </c>
      <c r="J605">
        <v>24.076000000000001</v>
      </c>
      <c r="K605">
        <v>2.0539999999999998</v>
      </c>
      <c r="L605" s="8">
        <v>1</v>
      </c>
      <c r="M605" s="8" t="s">
        <v>451</v>
      </c>
      <c r="N605" s="14">
        <v>11.997</v>
      </c>
    </row>
    <row r="606" spans="1:15" x14ac:dyDescent="0.25">
      <c r="A606" t="s">
        <v>1</v>
      </c>
      <c r="B606" t="s">
        <v>163</v>
      </c>
      <c r="D606" t="s">
        <v>751</v>
      </c>
      <c r="E606">
        <v>8</v>
      </c>
      <c r="F606" t="s">
        <v>10</v>
      </c>
      <c r="G606" s="20">
        <v>3</v>
      </c>
      <c r="H606">
        <v>4</v>
      </c>
      <c r="I606">
        <f>80.83+16.72</f>
        <v>97.55</v>
      </c>
      <c r="J606">
        <v>34.35</v>
      </c>
      <c r="K606">
        <f>(1.795+2.989+2.556)/3</f>
        <v>2.4466666666666668</v>
      </c>
      <c r="L606" s="8">
        <v>1</v>
      </c>
      <c r="M606" s="8" t="s">
        <v>454</v>
      </c>
      <c r="N606" s="14">
        <v>0</v>
      </c>
    </row>
    <row r="607" spans="1:15" x14ac:dyDescent="0.25">
      <c r="A607" t="s">
        <v>1</v>
      </c>
      <c r="B607" t="s">
        <v>163</v>
      </c>
      <c r="D607" t="s">
        <v>751</v>
      </c>
      <c r="E607">
        <v>9</v>
      </c>
      <c r="F607" t="s">
        <v>11</v>
      </c>
      <c r="G607" s="20">
        <v>3</v>
      </c>
      <c r="H607" s="3">
        <v>3</v>
      </c>
      <c r="I607">
        <f>112.001+44.311+10.798</f>
        <v>167.11</v>
      </c>
      <c r="J607">
        <v>45.649000000000001</v>
      </c>
      <c r="K607">
        <f>(6.02+6.703+3.986)/3</f>
        <v>5.5696666666666665</v>
      </c>
      <c r="L607" s="8">
        <v>2</v>
      </c>
      <c r="M607" s="8" t="s">
        <v>454</v>
      </c>
      <c r="N607" s="14">
        <v>0</v>
      </c>
      <c r="O607" s="1" t="s">
        <v>171</v>
      </c>
    </row>
    <row r="608" spans="1:15" x14ac:dyDescent="0.25">
      <c r="A608" t="s">
        <v>1</v>
      </c>
      <c r="B608" t="s">
        <v>163</v>
      </c>
      <c r="D608" t="s">
        <v>751</v>
      </c>
      <c r="E608">
        <v>10</v>
      </c>
      <c r="F608" t="s">
        <v>12</v>
      </c>
      <c r="G608" s="20">
        <v>3</v>
      </c>
      <c r="H608">
        <v>3</v>
      </c>
      <c r="I608">
        <f>41.614+35.209</f>
        <v>76.823000000000008</v>
      </c>
      <c r="J608">
        <v>46.026000000000003</v>
      </c>
      <c r="K608">
        <f>(7.657+7.657)/2</f>
        <v>7.657</v>
      </c>
      <c r="L608" s="8">
        <v>2</v>
      </c>
      <c r="M608" s="8" t="s">
        <v>454</v>
      </c>
      <c r="N608" s="14">
        <v>0</v>
      </c>
      <c r="O608" s="1" t="s">
        <v>173</v>
      </c>
    </row>
    <row r="609" spans="1:16" x14ac:dyDescent="0.25">
      <c r="A609" t="s">
        <v>1</v>
      </c>
      <c r="B609" t="s">
        <v>163</v>
      </c>
      <c r="D609" t="s">
        <v>751</v>
      </c>
      <c r="E609">
        <v>11</v>
      </c>
      <c r="F609" t="s">
        <v>13</v>
      </c>
      <c r="G609" s="20">
        <v>3</v>
      </c>
      <c r="H609">
        <v>2</v>
      </c>
      <c r="I609">
        <v>45.268000000000001</v>
      </c>
      <c r="J609">
        <v>47.213999999999999</v>
      </c>
      <c r="K609">
        <f>(4.866+5.051)/2</f>
        <v>4.9584999999999999</v>
      </c>
      <c r="L609" s="8">
        <v>1</v>
      </c>
      <c r="M609" s="8">
        <v>8.0869999999999997</v>
      </c>
      <c r="N609" s="14">
        <v>0</v>
      </c>
      <c r="P609" t="s">
        <v>193</v>
      </c>
    </row>
    <row r="610" spans="1:16" x14ac:dyDescent="0.25">
      <c r="A610" t="s">
        <v>1</v>
      </c>
      <c r="B610" t="s">
        <v>163</v>
      </c>
      <c r="D610" t="s">
        <v>751</v>
      </c>
      <c r="E610">
        <v>12</v>
      </c>
      <c r="F610" t="s">
        <v>14</v>
      </c>
      <c r="G610" s="20">
        <v>3</v>
      </c>
      <c r="H610">
        <v>4</v>
      </c>
      <c r="I610">
        <f>60.718+33.884</f>
        <v>94.602000000000004</v>
      </c>
      <c r="J610">
        <v>47.850999999999999</v>
      </c>
      <c r="K610">
        <f>(4+3.955)/2</f>
        <v>3.9775</v>
      </c>
      <c r="L610" s="8">
        <v>1</v>
      </c>
      <c r="M610" s="8" t="s">
        <v>454</v>
      </c>
      <c r="N610" s="14">
        <v>0</v>
      </c>
      <c r="O610" s="1" t="s">
        <v>158</v>
      </c>
    </row>
    <row r="611" spans="1:16" x14ac:dyDescent="0.25">
      <c r="A611" t="s">
        <v>1</v>
      </c>
      <c r="B611" t="s">
        <v>163</v>
      </c>
      <c r="D611" t="s">
        <v>751</v>
      </c>
      <c r="E611">
        <v>13</v>
      </c>
      <c r="F611" t="s">
        <v>15</v>
      </c>
      <c r="G611" s="20">
        <v>3</v>
      </c>
      <c r="H611">
        <v>3</v>
      </c>
      <c r="I611">
        <v>87.908000000000001</v>
      </c>
      <c r="J611">
        <v>39.667999999999999</v>
      </c>
      <c r="K611">
        <v>1.8069999999999999</v>
      </c>
      <c r="L611" s="8">
        <v>1</v>
      </c>
      <c r="M611" s="8" t="s">
        <v>451</v>
      </c>
      <c r="N611" s="14">
        <v>7.6479999999999997</v>
      </c>
    </row>
    <row r="612" spans="1:16" x14ac:dyDescent="0.25">
      <c r="A612" t="s">
        <v>1</v>
      </c>
      <c r="B612" t="s">
        <v>163</v>
      </c>
      <c r="D612" t="s">
        <v>751</v>
      </c>
      <c r="E612">
        <v>14</v>
      </c>
      <c r="F612" t="s">
        <v>16</v>
      </c>
      <c r="G612" s="20">
        <v>3</v>
      </c>
      <c r="H612">
        <v>2</v>
      </c>
      <c r="I612">
        <v>75.17</v>
      </c>
      <c r="J612">
        <v>44.9</v>
      </c>
      <c r="K612">
        <f>(7.878+6.878)/2</f>
        <v>7.3780000000000001</v>
      </c>
      <c r="L612" s="8">
        <v>0</v>
      </c>
      <c r="M612" s="8" t="s">
        <v>451</v>
      </c>
      <c r="N612" s="14" t="s">
        <v>452</v>
      </c>
      <c r="O612" s="1" t="s">
        <v>170</v>
      </c>
    </row>
    <row r="613" spans="1:16" x14ac:dyDescent="0.25">
      <c r="A613" t="s">
        <v>1</v>
      </c>
      <c r="B613" t="s">
        <v>163</v>
      </c>
      <c r="D613" t="s">
        <v>751</v>
      </c>
      <c r="E613">
        <v>15</v>
      </c>
      <c r="F613" t="s">
        <v>17</v>
      </c>
      <c r="G613" s="20">
        <v>3</v>
      </c>
      <c r="H613">
        <v>3</v>
      </c>
      <c r="I613">
        <f>95.227+21.27</f>
        <v>116.497</v>
      </c>
      <c r="J613">
        <v>24.798999999999999</v>
      </c>
      <c r="K613">
        <f>(2.272+2.45)/2</f>
        <v>2.3609999999999998</v>
      </c>
      <c r="L613" s="8">
        <v>1</v>
      </c>
      <c r="M613" s="8" t="s">
        <v>451</v>
      </c>
      <c r="N613" s="14">
        <v>5.1020000000000003</v>
      </c>
    </row>
    <row r="614" spans="1:16" x14ac:dyDescent="0.25">
      <c r="A614" t="s">
        <v>1</v>
      </c>
      <c r="B614" t="s">
        <v>163</v>
      </c>
      <c r="D614" t="s">
        <v>751</v>
      </c>
      <c r="E614">
        <v>16</v>
      </c>
      <c r="F614" t="s">
        <v>18</v>
      </c>
      <c r="G614" s="20">
        <v>3</v>
      </c>
      <c r="H614">
        <v>4</v>
      </c>
      <c r="I614">
        <f>65.348+26.485</f>
        <v>91.832999999999998</v>
      </c>
      <c r="J614">
        <v>29.257000000000001</v>
      </c>
      <c r="K614">
        <f>(4.017+2.491+1.917)/3</f>
        <v>2.8083333333333336</v>
      </c>
      <c r="L614" s="8">
        <v>1</v>
      </c>
      <c r="M614" s="8" t="s">
        <v>454</v>
      </c>
      <c r="N614" s="14">
        <v>0</v>
      </c>
      <c r="O614" s="1" t="s">
        <v>158</v>
      </c>
    </row>
    <row r="615" spans="1:16" x14ac:dyDescent="0.25">
      <c r="A615" t="s">
        <v>1</v>
      </c>
      <c r="B615" t="s">
        <v>163</v>
      </c>
      <c r="D615" t="s">
        <v>751</v>
      </c>
      <c r="E615">
        <v>17</v>
      </c>
      <c r="F615" t="s">
        <v>19</v>
      </c>
      <c r="G615" s="20">
        <v>3</v>
      </c>
      <c r="H615">
        <v>4</v>
      </c>
      <c r="I615">
        <f>107.009+20.029</f>
        <v>127.038</v>
      </c>
      <c r="J615">
        <v>30.434000000000001</v>
      </c>
      <c r="K615">
        <f>(3.865+5.131)/2</f>
        <v>4.4980000000000002</v>
      </c>
      <c r="L615" s="8">
        <v>1</v>
      </c>
      <c r="M615" s="8" t="s">
        <v>454</v>
      </c>
      <c r="N615" s="14">
        <v>0</v>
      </c>
    </row>
    <row r="616" spans="1:16" x14ac:dyDescent="0.25">
      <c r="A616" t="s">
        <v>1</v>
      </c>
      <c r="B616" t="s">
        <v>163</v>
      </c>
      <c r="D616" t="s">
        <v>751</v>
      </c>
      <c r="E616">
        <v>18</v>
      </c>
      <c r="F616" t="s">
        <v>20</v>
      </c>
      <c r="G616" s="20">
        <v>3</v>
      </c>
      <c r="H616">
        <v>4</v>
      </c>
      <c r="I616">
        <f>42.666+36.747</f>
        <v>79.412999999999997</v>
      </c>
      <c r="J616">
        <v>19.965</v>
      </c>
      <c r="K616">
        <f>(1.998+2.267)/2</f>
        <v>2.1324999999999998</v>
      </c>
      <c r="L616" s="8">
        <v>2</v>
      </c>
      <c r="M616" s="8" t="s">
        <v>454</v>
      </c>
      <c r="N616" s="14">
        <v>0</v>
      </c>
      <c r="O616" s="1" t="s">
        <v>169</v>
      </c>
    </row>
    <row r="617" spans="1:16" x14ac:dyDescent="0.25">
      <c r="A617" t="s">
        <v>1</v>
      </c>
      <c r="B617" t="s">
        <v>163</v>
      </c>
      <c r="D617" t="s">
        <v>751</v>
      </c>
      <c r="E617">
        <v>19</v>
      </c>
      <c r="F617" t="s">
        <v>21</v>
      </c>
      <c r="G617" s="20">
        <v>3</v>
      </c>
      <c r="H617">
        <v>3</v>
      </c>
      <c r="I617">
        <v>77.004000000000005</v>
      </c>
      <c r="J617">
        <v>46.488999999999997</v>
      </c>
      <c r="K617">
        <f>(3.725+4.17)/2</f>
        <v>3.9474999999999998</v>
      </c>
      <c r="L617" s="8">
        <v>0</v>
      </c>
      <c r="M617" s="8" t="s">
        <v>451</v>
      </c>
      <c r="N617" s="14" t="s">
        <v>452</v>
      </c>
    </row>
    <row r="618" spans="1:16" x14ac:dyDescent="0.25">
      <c r="A618" t="s">
        <v>1</v>
      </c>
      <c r="B618" t="s">
        <v>163</v>
      </c>
      <c r="D618" t="s">
        <v>751</v>
      </c>
      <c r="E618">
        <v>20</v>
      </c>
      <c r="F618" t="s">
        <v>22</v>
      </c>
      <c r="G618" s="20">
        <v>3</v>
      </c>
      <c r="H618">
        <v>4</v>
      </c>
      <c r="I618">
        <f>79.173+10.695+15.115</f>
        <v>104.98299999999999</v>
      </c>
      <c r="J618">
        <v>25.321999999999999</v>
      </c>
      <c r="K618">
        <f>(4.308+4.811)/2</f>
        <v>4.5594999999999999</v>
      </c>
      <c r="L618" s="8">
        <v>3</v>
      </c>
      <c r="M618" s="8" t="s">
        <v>454</v>
      </c>
      <c r="N618" s="14">
        <v>0</v>
      </c>
    </row>
    <row r="619" spans="1:16" x14ac:dyDescent="0.25">
      <c r="A619" t="s">
        <v>1</v>
      </c>
      <c r="B619" t="s">
        <v>163</v>
      </c>
      <c r="D619" t="s">
        <v>751</v>
      </c>
      <c r="E619">
        <v>21</v>
      </c>
      <c r="F619" t="s">
        <v>23</v>
      </c>
      <c r="G619" s="20">
        <v>3</v>
      </c>
      <c r="H619">
        <v>4</v>
      </c>
      <c r="I619">
        <v>151.56</v>
      </c>
      <c r="J619">
        <v>22.785</v>
      </c>
      <c r="K619">
        <f>(3.781+2.54)/2</f>
        <v>3.1604999999999999</v>
      </c>
      <c r="L619" s="8">
        <v>0</v>
      </c>
      <c r="M619" s="8" t="s">
        <v>451</v>
      </c>
      <c r="N619" s="14" t="s">
        <v>452</v>
      </c>
    </row>
    <row r="620" spans="1:16" x14ac:dyDescent="0.25">
      <c r="A620" t="s">
        <v>1</v>
      </c>
      <c r="B620" t="s">
        <v>163</v>
      </c>
      <c r="D620" t="s">
        <v>751</v>
      </c>
      <c r="E620">
        <v>22</v>
      </c>
      <c r="F620" t="s">
        <v>24</v>
      </c>
      <c r="G620" s="20">
        <v>3</v>
      </c>
      <c r="H620">
        <v>3</v>
      </c>
      <c r="I620">
        <v>128.66800000000001</v>
      </c>
      <c r="J620">
        <v>38.536000000000001</v>
      </c>
      <c r="K620">
        <f>(2.194+1.74)/2</f>
        <v>1.9670000000000001</v>
      </c>
      <c r="L620" s="8">
        <v>0</v>
      </c>
      <c r="M620" s="8" t="s">
        <v>451</v>
      </c>
      <c r="N620" s="14" t="s">
        <v>452</v>
      </c>
    </row>
    <row r="621" spans="1:16" x14ac:dyDescent="0.25">
      <c r="A621" t="s">
        <v>1</v>
      </c>
      <c r="B621" t="s">
        <v>163</v>
      </c>
      <c r="D621" t="s">
        <v>751</v>
      </c>
      <c r="E621">
        <v>23</v>
      </c>
      <c r="F621" t="s">
        <v>25</v>
      </c>
      <c r="G621" s="20">
        <v>3</v>
      </c>
      <c r="H621">
        <v>3</v>
      </c>
      <c r="I621">
        <v>98.471999999999994</v>
      </c>
      <c r="J621">
        <v>35.158999999999999</v>
      </c>
      <c r="K621">
        <f>(3.127+2.711)/2</f>
        <v>2.9189999999999996</v>
      </c>
      <c r="L621" s="8">
        <v>0</v>
      </c>
      <c r="M621" s="8" t="s">
        <v>451</v>
      </c>
      <c r="N621" s="14" t="s">
        <v>452</v>
      </c>
    </row>
    <row r="622" spans="1:16" x14ac:dyDescent="0.25">
      <c r="A622" t="s">
        <v>1</v>
      </c>
      <c r="B622" t="s">
        <v>163</v>
      </c>
      <c r="D622" t="s">
        <v>751</v>
      </c>
      <c r="E622">
        <v>24</v>
      </c>
      <c r="F622" t="s">
        <v>26</v>
      </c>
      <c r="G622" s="20">
        <v>3</v>
      </c>
      <c r="H622">
        <v>3</v>
      </c>
      <c r="I622">
        <v>109.729</v>
      </c>
      <c r="J622">
        <v>47.64</v>
      </c>
      <c r="K622">
        <f>(2.326+2.054)/2</f>
        <v>2.19</v>
      </c>
      <c r="L622" s="8">
        <v>0</v>
      </c>
      <c r="M622" s="8" t="s">
        <v>451</v>
      </c>
      <c r="N622" s="14" t="s">
        <v>452</v>
      </c>
      <c r="O622" s="1" t="s">
        <v>169</v>
      </c>
    </row>
    <row r="623" spans="1:16" x14ac:dyDescent="0.25">
      <c r="A623" t="s">
        <v>1</v>
      </c>
      <c r="B623" t="s">
        <v>163</v>
      </c>
      <c r="D623" t="s">
        <v>751</v>
      </c>
      <c r="E623">
        <v>25</v>
      </c>
      <c r="F623" t="s">
        <v>27</v>
      </c>
      <c r="G623" s="20">
        <v>3</v>
      </c>
      <c r="H623">
        <v>3</v>
      </c>
      <c r="I623">
        <f>130.463+42.123</f>
        <v>172.58599999999998</v>
      </c>
      <c r="J623">
        <v>36.146999999999998</v>
      </c>
      <c r="K623">
        <f>(6.703+3.565)/2</f>
        <v>5.1340000000000003</v>
      </c>
      <c r="L623" s="8">
        <v>1</v>
      </c>
      <c r="M623" s="8" t="s">
        <v>451</v>
      </c>
      <c r="N623" s="14">
        <v>15.297000000000001</v>
      </c>
    </row>
    <row r="624" spans="1:16" x14ac:dyDescent="0.25">
      <c r="A624" t="s">
        <v>1</v>
      </c>
      <c r="B624" t="s">
        <v>163</v>
      </c>
      <c r="D624" t="s">
        <v>751</v>
      </c>
      <c r="E624">
        <v>26</v>
      </c>
      <c r="F624" t="s">
        <v>28</v>
      </c>
      <c r="G624" s="20">
        <v>3</v>
      </c>
      <c r="H624">
        <v>4</v>
      </c>
      <c r="I624">
        <f>81.231+28.258</f>
        <v>109.48899999999999</v>
      </c>
      <c r="J624">
        <v>26.632999999999999</v>
      </c>
      <c r="K624">
        <f>(3.477+2.727+2.818)/3</f>
        <v>3.0073333333333334</v>
      </c>
      <c r="L624" s="8">
        <v>1</v>
      </c>
      <c r="M624" s="8" t="s">
        <v>454</v>
      </c>
      <c r="N624" s="14">
        <v>0</v>
      </c>
    </row>
    <row r="625" spans="1:15" x14ac:dyDescent="0.25">
      <c r="A625" t="s">
        <v>1</v>
      </c>
      <c r="B625" t="s">
        <v>163</v>
      </c>
      <c r="D625" t="s">
        <v>751</v>
      </c>
      <c r="E625">
        <v>27</v>
      </c>
      <c r="F625" t="s">
        <v>29</v>
      </c>
      <c r="G625" s="20">
        <v>3</v>
      </c>
      <c r="H625">
        <v>3</v>
      </c>
      <c r="I625">
        <f>115.035+27.322</f>
        <v>142.357</v>
      </c>
      <c r="J625">
        <v>34.984999999999999</v>
      </c>
      <c r="K625">
        <f>(2.239+2.756+2.272)/3</f>
        <v>2.422333333333333</v>
      </c>
      <c r="L625" s="8">
        <v>1</v>
      </c>
      <c r="M625" s="8" t="s">
        <v>454</v>
      </c>
      <c r="N625" s="14">
        <v>0</v>
      </c>
    </row>
    <row r="626" spans="1:15" x14ac:dyDescent="0.25">
      <c r="A626" t="s">
        <v>1</v>
      </c>
      <c r="B626" t="s">
        <v>163</v>
      </c>
      <c r="D626" t="s">
        <v>751</v>
      </c>
      <c r="E626">
        <v>28</v>
      </c>
      <c r="F626" t="s">
        <v>30</v>
      </c>
      <c r="G626" s="20">
        <v>3</v>
      </c>
      <c r="H626">
        <v>4</v>
      </c>
      <c r="I626">
        <f>37.979+72.745+32.779</f>
        <v>143.50300000000001</v>
      </c>
      <c r="J626">
        <v>24.826000000000001</v>
      </c>
      <c r="K626">
        <f>(5.13+3.35)/2</f>
        <v>4.24</v>
      </c>
      <c r="L626" s="8">
        <v>2</v>
      </c>
      <c r="M626" s="8" t="s">
        <v>454</v>
      </c>
      <c r="N626" s="14">
        <v>0</v>
      </c>
      <c r="O626" s="1" t="s">
        <v>158</v>
      </c>
    </row>
    <row r="627" spans="1:15" x14ac:dyDescent="0.25">
      <c r="A627" t="s">
        <v>1</v>
      </c>
      <c r="B627" t="s">
        <v>163</v>
      </c>
      <c r="D627" t="s">
        <v>751</v>
      </c>
      <c r="E627">
        <v>29</v>
      </c>
      <c r="F627" t="s">
        <v>31</v>
      </c>
      <c r="G627" s="20">
        <v>3</v>
      </c>
      <c r="H627">
        <v>3</v>
      </c>
      <c r="I627">
        <f>128.099+19.732+9.957</f>
        <v>157.78799999999998</v>
      </c>
      <c r="J627">
        <v>28.988</v>
      </c>
      <c r="K627">
        <f>(4.836+5.676)/2</f>
        <v>5.2560000000000002</v>
      </c>
      <c r="L627" s="8">
        <v>3</v>
      </c>
      <c r="M627" s="8" t="s">
        <v>451</v>
      </c>
      <c r="N627" s="14">
        <v>6.6429999999999998</v>
      </c>
    </row>
    <row r="628" spans="1:15" x14ac:dyDescent="0.25">
      <c r="A628" t="s">
        <v>1</v>
      </c>
      <c r="B628" t="s">
        <v>163</v>
      </c>
      <c r="D628" t="s">
        <v>751</v>
      </c>
      <c r="E628">
        <v>30</v>
      </c>
      <c r="F628" t="s">
        <v>32</v>
      </c>
      <c r="G628" s="20">
        <v>3</v>
      </c>
      <c r="H628">
        <v>3</v>
      </c>
      <c r="I628">
        <v>94.454999999999998</v>
      </c>
      <c r="J628">
        <v>43.253999999999998</v>
      </c>
      <c r="K628">
        <f>(5.296+4.593)/2</f>
        <v>4.9444999999999997</v>
      </c>
      <c r="L628" s="8">
        <v>1</v>
      </c>
      <c r="M628" s="8" t="s">
        <v>451</v>
      </c>
      <c r="N628" s="14">
        <v>55.162999999999997</v>
      </c>
    </row>
    <row r="629" spans="1:15" x14ac:dyDescent="0.25">
      <c r="A629" t="s">
        <v>1</v>
      </c>
      <c r="B629" t="s">
        <v>163</v>
      </c>
      <c r="D629" t="s">
        <v>751</v>
      </c>
      <c r="E629">
        <v>31</v>
      </c>
      <c r="F629" t="s">
        <v>33</v>
      </c>
      <c r="G629" s="20">
        <v>3</v>
      </c>
      <c r="H629">
        <v>3</v>
      </c>
      <c r="I629">
        <f>91.924+34.151</f>
        <v>126.07500000000002</v>
      </c>
      <c r="J629">
        <v>32.284999999999997</v>
      </c>
      <c r="K629">
        <f>(2.369+3.481)/2</f>
        <v>2.9249999999999998</v>
      </c>
      <c r="L629" s="8">
        <v>1</v>
      </c>
      <c r="M629" s="8" t="s">
        <v>451</v>
      </c>
      <c r="N629" s="14">
        <v>4.4130000000000003</v>
      </c>
    </row>
    <row r="630" spans="1:15" x14ac:dyDescent="0.25">
      <c r="A630" t="s">
        <v>655</v>
      </c>
      <c r="B630" t="s">
        <v>746</v>
      </c>
      <c r="C630" t="s">
        <v>750</v>
      </c>
      <c r="D630" t="s">
        <v>749</v>
      </c>
      <c r="E630">
        <v>1</v>
      </c>
      <c r="F630" t="s">
        <v>656</v>
      </c>
      <c r="G630" s="20">
        <v>3</v>
      </c>
      <c r="H630">
        <v>3</v>
      </c>
      <c r="I630">
        <f>62.367+10.621+22.778</f>
        <v>95.765999999999991</v>
      </c>
      <c r="J630">
        <v>47.462000000000003</v>
      </c>
      <c r="K630">
        <f>(2.657+2.535+4.183)/3</f>
        <v>3.125</v>
      </c>
      <c r="L630" s="8">
        <v>2</v>
      </c>
      <c r="M630" s="8" t="s">
        <v>454</v>
      </c>
      <c r="N630" s="14">
        <v>0</v>
      </c>
    </row>
    <row r="631" spans="1:15" x14ac:dyDescent="0.25">
      <c r="A631" t="s">
        <v>655</v>
      </c>
      <c r="B631" t="s">
        <v>746</v>
      </c>
      <c r="C631" t="s">
        <v>750</v>
      </c>
      <c r="D631" t="s">
        <v>749</v>
      </c>
      <c r="E631">
        <v>2</v>
      </c>
      <c r="F631" t="s">
        <v>657</v>
      </c>
      <c r="G631" s="20">
        <v>3</v>
      </c>
      <c r="H631">
        <v>3</v>
      </c>
      <c r="I631">
        <f>70.596+9.428</f>
        <v>80.024000000000001</v>
      </c>
      <c r="J631">
        <v>40.539000000000001</v>
      </c>
      <c r="K631">
        <f>(7.254+2.54)/2</f>
        <v>4.8970000000000002</v>
      </c>
      <c r="L631" s="8">
        <v>1</v>
      </c>
      <c r="M631" s="8" t="s">
        <v>454</v>
      </c>
      <c r="N631" s="14">
        <v>0</v>
      </c>
    </row>
    <row r="632" spans="1:15" x14ac:dyDescent="0.25">
      <c r="A632" t="s">
        <v>655</v>
      </c>
      <c r="B632" t="s">
        <v>746</v>
      </c>
      <c r="C632" t="s">
        <v>750</v>
      </c>
      <c r="D632" t="s">
        <v>749</v>
      </c>
      <c r="E632">
        <v>3</v>
      </c>
      <c r="F632" t="s">
        <v>658</v>
      </c>
      <c r="G632" s="20">
        <v>3</v>
      </c>
      <c r="H632">
        <v>2</v>
      </c>
      <c r="I632">
        <v>28.417999999999999</v>
      </c>
      <c r="J632">
        <v>68.022000000000006</v>
      </c>
      <c r="K632">
        <v>8.0269999999999992</v>
      </c>
      <c r="L632" s="8">
        <v>0</v>
      </c>
      <c r="M632" s="8" t="s">
        <v>451</v>
      </c>
      <c r="N632" s="14" t="s">
        <v>452</v>
      </c>
    </row>
    <row r="633" spans="1:15" x14ac:dyDescent="0.25">
      <c r="A633" t="s">
        <v>655</v>
      </c>
      <c r="B633" t="s">
        <v>746</v>
      </c>
      <c r="C633" t="s">
        <v>750</v>
      </c>
      <c r="D633" t="s">
        <v>749</v>
      </c>
      <c r="E633">
        <v>4</v>
      </c>
      <c r="F633" t="s">
        <v>659</v>
      </c>
      <c r="G633" s="20">
        <v>3</v>
      </c>
      <c r="H633">
        <v>3</v>
      </c>
      <c r="I633">
        <f>68.428+20.794</f>
        <v>89.221999999999994</v>
      </c>
      <c r="J633">
        <v>37.180999999999997</v>
      </c>
      <c r="K633">
        <f>(4.208+3.183)/2</f>
        <v>3.6955</v>
      </c>
      <c r="L633" s="8">
        <v>1</v>
      </c>
      <c r="M633" s="8" t="s">
        <v>660</v>
      </c>
      <c r="N633" s="14">
        <v>0</v>
      </c>
      <c r="O633" s="1" t="s">
        <v>65</v>
      </c>
    </row>
    <row r="634" spans="1:15" x14ac:dyDescent="0.25">
      <c r="A634" t="s">
        <v>655</v>
      </c>
      <c r="B634" t="s">
        <v>746</v>
      </c>
      <c r="C634" t="s">
        <v>750</v>
      </c>
      <c r="D634" t="s">
        <v>749</v>
      </c>
      <c r="E634">
        <v>5</v>
      </c>
      <c r="F634" t="s">
        <v>661</v>
      </c>
      <c r="G634" s="20">
        <v>3</v>
      </c>
      <c r="H634">
        <v>3</v>
      </c>
      <c r="I634">
        <f>30.467+32.355+13.973</f>
        <v>76.795000000000002</v>
      </c>
      <c r="J634">
        <v>52.838999999999999</v>
      </c>
      <c r="K634">
        <f>(2.419+2.847)/2</f>
        <v>2.633</v>
      </c>
      <c r="L634" s="8">
        <v>2</v>
      </c>
      <c r="M634" s="8" t="s">
        <v>451</v>
      </c>
      <c r="N634" s="14">
        <v>16.672000000000001</v>
      </c>
    </row>
    <row r="635" spans="1:15" x14ac:dyDescent="0.25">
      <c r="A635" t="s">
        <v>655</v>
      </c>
      <c r="B635" t="s">
        <v>746</v>
      </c>
      <c r="C635" t="s">
        <v>750</v>
      </c>
      <c r="D635" t="s">
        <v>749</v>
      </c>
      <c r="E635">
        <v>6</v>
      </c>
      <c r="F635" t="s">
        <v>662</v>
      </c>
      <c r="G635" s="20">
        <v>2</v>
      </c>
      <c r="H635">
        <v>2</v>
      </c>
      <c r="I635">
        <v>44.042999999999999</v>
      </c>
      <c r="J635">
        <v>53.27</v>
      </c>
      <c r="K635">
        <v>8.1720000000000006</v>
      </c>
      <c r="L635" s="8">
        <v>1</v>
      </c>
      <c r="M635" s="8" t="s">
        <v>454</v>
      </c>
      <c r="N635" s="14">
        <v>0</v>
      </c>
      <c r="O635" s="1" t="s">
        <v>158</v>
      </c>
    </row>
    <row r="636" spans="1:15" x14ac:dyDescent="0.25">
      <c r="A636" t="s">
        <v>655</v>
      </c>
      <c r="B636" t="s">
        <v>746</v>
      </c>
      <c r="C636" t="s">
        <v>750</v>
      </c>
      <c r="D636" t="s">
        <v>749</v>
      </c>
      <c r="E636">
        <v>7</v>
      </c>
      <c r="F636" t="s">
        <v>663</v>
      </c>
      <c r="G636" s="20">
        <v>3</v>
      </c>
      <c r="H636">
        <v>3</v>
      </c>
      <c r="I636">
        <f>58.469+15.515</f>
        <v>73.984000000000009</v>
      </c>
      <c r="J636">
        <v>50.38</v>
      </c>
      <c r="K636">
        <f>(3.12+2.831)/2</f>
        <v>2.9755000000000003</v>
      </c>
      <c r="L636" s="8">
        <v>1</v>
      </c>
      <c r="M636" s="8" t="s">
        <v>451</v>
      </c>
      <c r="N636" s="14">
        <v>2.3330000000000002</v>
      </c>
    </row>
    <row r="637" spans="1:15" x14ac:dyDescent="0.25">
      <c r="A637" t="s">
        <v>655</v>
      </c>
      <c r="B637" t="s">
        <v>746</v>
      </c>
      <c r="C637" t="s">
        <v>750</v>
      </c>
      <c r="D637" t="s">
        <v>749</v>
      </c>
      <c r="E637">
        <v>8</v>
      </c>
      <c r="F637" t="s">
        <v>664</v>
      </c>
      <c r="G637" s="20">
        <v>3</v>
      </c>
      <c r="H637">
        <v>3</v>
      </c>
      <c r="I637">
        <v>63.003</v>
      </c>
      <c r="J637">
        <v>43.86</v>
      </c>
      <c r="K637">
        <f>(2.565+2.163)/2</f>
        <v>2.3639999999999999</v>
      </c>
      <c r="L637" s="8">
        <v>0</v>
      </c>
      <c r="M637" s="8" t="s">
        <v>451</v>
      </c>
      <c r="N637" s="14" t="s">
        <v>452</v>
      </c>
    </row>
    <row r="638" spans="1:15" x14ac:dyDescent="0.25">
      <c r="A638" t="s">
        <v>655</v>
      </c>
      <c r="B638" t="s">
        <v>746</v>
      </c>
      <c r="C638" t="s">
        <v>750</v>
      </c>
      <c r="D638" t="s">
        <v>749</v>
      </c>
      <c r="E638">
        <v>9</v>
      </c>
      <c r="F638" t="s">
        <v>665</v>
      </c>
      <c r="G638" s="20">
        <v>3</v>
      </c>
      <c r="H638">
        <v>4</v>
      </c>
      <c r="I638">
        <v>44.802</v>
      </c>
      <c r="J638">
        <v>14.709</v>
      </c>
      <c r="K638">
        <f>(2.561+2.263)/2</f>
        <v>2.4119999999999999</v>
      </c>
      <c r="L638" s="8">
        <v>0</v>
      </c>
      <c r="M638" s="8" t="s">
        <v>451</v>
      </c>
      <c r="N638" s="14" t="s">
        <v>452</v>
      </c>
    </row>
    <row r="639" spans="1:15" x14ac:dyDescent="0.25">
      <c r="A639" t="s">
        <v>655</v>
      </c>
      <c r="B639" t="s">
        <v>746</v>
      </c>
      <c r="C639" t="s">
        <v>750</v>
      </c>
      <c r="D639" t="s">
        <v>749</v>
      </c>
      <c r="E639">
        <v>10</v>
      </c>
      <c r="F639" t="s">
        <v>666</v>
      </c>
      <c r="G639" s="20">
        <v>3</v>
      </c>
      <c r="H639">
        <v>4</v>
      </c>
      <c r="I639">
        <f>54.059+70.028+9.234</f>
        <v>133.321</v>
      </c>
      <c r="J639">
        <v>21.611000000000001</v>
      </c>
      <c r="K639">
        <f>(1.807+2.53+1.789)/3</f>
        <v>2.0419999999999998</v>
      </c>
      <c r="L639" s="8">
        <v>2</v>
      </c>
      <c r="M639" s="8" t="s">
        <v>454</v>
      </c>
      <c r="N639" s="14">
        <v>0</v>
      </c>
    </row>
    <row r="640" spans="1:15" x14ac:dyDescent="0.25">
      <c r="A640" t="s">
        <v>655</v>
      </c>
      <c r="B640" t="s">
        <v>746</v>
      </c>
      <c r="C640" t="s">
        <v>750</v>
      </c>
      <c r="D640" t="s">
        <v>749</v>
      </c>
      <c r="E640">
        <v>11</v>
      </c>
      <c r="F640" t="s">
        <v>667</v>
      </c>
      <c r="G640" s="20">
        <v>3</v>
      </c>
      <c r="H640">
        <v>4</v>
      </c>
      <c r="I640">
        <f>43.454+61.077</f>
        <v>104.53100000000001</v>
      </c>
      <c r="J640">
        <v>17.509</v>
      </c>
      <c r="K640">
        <f>(2.143+1.974+3.016)/3</f>
        <v>2.3776666666666668</v>
      </c>
      <c r="L640" s="8">
        <v>1</v>
      </c>
      <c r="M640" s="8" t="s">
        <v>454</v>
      </c>
      <c r="N640" s="14">
        <v>0</v>
      </c>
    </row>
    <row r="641" spans="1:15" x14ac:dyDescent="0.25">
      <c r="A641" t="s">
        <v>655</v>
      </c>
      <c r="B641" t="s">
        <v>746</v>
      </c>
      <c r="C641" t="s">
        <v>750</v>
      </c>
      <c r="D641" t="s">
        <v>749</v>
      </c>
      <c r="E641">
        <v>12</v>
      </c>
      <c r="F641" t="s">
        <v>668</v>
      </c>
      <c r="G641" s="20">
        <v>3</v>
      </c>
      <c r="H641">
        <v>4</v>
      </c>
      <c r="I641">
        <v>120.271</v>
      </c>
      <c r="J641">
        <v>27.273</v>
      </c>
      <c r="K641">
        <f>(1.73+2.785)/2</f>
        <v>2.2575000000000003</v>
      </c>
      <c r="L641" s="8">
        <v>2</v>
      </c>
      <c r="M641" s="8" t="s">
        <v>454</v>
      </c>
      <c r="N641" s="14">
        <v>0</v>
      </c>
      <c r="O641" s="1" t="s">
        <v>158</v>
      </c>
    </row>
    <row r="642" spans="1:15" x14ac:dyDescent="0.25">
      <c r="A642" t="s">
        <v>655</v>
      </c>
      <c r="B642" t="s">
        <v>746</v>
      </c>
      <c r="C642" t="s">
        <v>750</v>
      </c>
      <c r="D642" t="s">
        <v>749</v>
      </c>
      <c r="E642">
        <v>13</v>
      </c>
      <c r="F642" t="s">
        <v>669</v>
      </c>
      <c r="G642" s="20">
        <v>3</v>
      </c>
      <c r="H642">
        <v>4</v>
      </c>
      <c r="I642">
        <v>67.183999999999997</v>
      </c>
      <c r="J642">
        <v>26.760999999999999</v>
      </c>
      <c r="K642">
        <f>(3.642+2.796)/2</f>
        <v>3.2189999999999999</v>
      </c>
      <c r="L642" s="8">
        <v>0</v>
      </c>
      <c r="M642" s="8" t="s">
        <v>451</v>
      </c>
      <c r="N642" s="14" t="s">
        <v>452</v>
      </c>
    </row>
    <row r="643" spans="1:15" x14ac:dyDescent="0.25">
      <c r="A643" t="s">
        <v>655</v>
      </c>
      <c r="B643" t="s">
        <v>746</v>
      </c>
      <c r="C643" t="s">
        <v>750</v>
      </c>
      <c r="D643" t="s">
        <v>749</v>
      </c>
      <c r="E643">
        <v>14</v>
      </c>
      <c r="F643" t="s">
        <v>670</v>
      </c>
      <c r="G643" s="20">
        <v>3</v>
      </c>
      <c r="H643">
        <v>3</v>
      </c>
      <c r="I643">
        <v>73.290000000000006</v>
      </c>
      <c r="J643">
        <v>34.216000000000001</v>
      </c>
      <c r="K643">
        <f>(2.767+1.974)/2</f>
        <v>2.3704999999999998</v>
      </c>
      <c r="L643" s="8">
        <v>0</v>
      </c>
      <c r="M643" s="8" t="s">
        <v>451</v>
      </c>
      <c r="N643" s="14" t="s">
        <v>452</v>
      </c>
    </row>
    <row r="644" spans="1:15" x14ac:dyDescent="0.25">
      <c r="A644" t="s">
        <v>655</v>
      </c>
      <c r="B644" t="s">
        <v>746</v>
      </c>
      <c r="C644" t="s">
        <v>750</v>
      </c>
      <c r="D644" t="s">
        <v>749</v>
      </c>
      <c r="E644">
        <v>15</v>
      </c>
      <c r="F644" t="s">
        <v>671</v>
      </c>
      <c r="G644" s="20">
        <v>2</v>
      </c>
      <c r="H644">
        <v>2</v>
      </c>
      <c r="I644">
        <f>39.088+22.743</f>
        <v>61.831000000000003</v>
      </c>
      <c r="J644">
        <v>78.457999999999998</v>
      </c>
      <c r="K644">
        <v>8.1140000000000008</v>
      </c>
      <c r="L644" s="8">
        <v>2</v>
      </c>
      <c r="M644" s="8" t="s">
        <v>454</v>
      </c>
      <c r="N644" s="14">
        <v>0</v>
      </c>
    </row>
    <row r="645" spans="1:15" x14ac:dyDescent="0.25">
      <c r="A645" t="s">
        <v>655</v>
      </c>
      <c r="B645" t="s">
        <v>746</v>
      </c>
      <c r="C645" t="s">
        <v>750</v>
      </c>
      <c r="D645" t="s">
        <v>749</v>
      </c>
      <c r="E645">
        <v>16</v>
      </c>
      <c r="F645" t="s">
        <v>672</v>
      </c>
      <c r="G645" s="20">
        <v>3</v>
      </c>
      <c r="H645">
        <v>2</v>
      </c>
      <c r="I645">
        <v>34.488999999999997</v>
      </c>
      <c r="J645">
        <v>73.7</v>
      </c>
      <c r="K645">
        <v>5.5919999999999996</v>
      </c>
      <c r="L645" s="8">
        <v>1</v>
      </c>
      <c r="M645" s="8" t="s">
        <v>454</v>
      </c>
      <c r="N645" s="14">
        <v>0</v>
      </c>
    </row>
    <row r="646" spans="1:15" x14ac:dyDescent="0.25">
      <c r="A646" t="s">
        <v>655</v>
      </c>
      <c r="B646" t="s">
        <v>746</v>
      </c>
      <c r="C646" t="s">
        <v>750</v>
      </c>
      <c r="D646" t="s">
        <v>749</v>
      </c>
      <c r="E646">
        <v>17</v>
      </c>
      <c r="F646" t="s">
        <v>673</v>
      </c>
      <c r="G646" s="20">
        <v>3</v>
      </c>
      <c r="H646">
        <v>3</v>
      </c>
      <c r="I646">
        <f>70.884+21.745+21.222</f>
        <v>113.851</v>
      </c>
      <c r="J646">
        <v>46.421999999999997</v>
      </c>
      <c r="K646">
        <f>(3.506+3.937)/2</f>
        <v>3.7214999999999998</v>
      </c>
      <c r="L646" s="8">
        <v>3</v>
      </c>
      <c r="M646" s="8" t="s">
        <v>454</v>
      </c>
      <c r="N646" s="14">
        <v>0</v>
      </c>
    </row>
    <row r="647" spans="1:15" x14ac:dyDescent="0.25">
      <c r="A647" t="s">
        <v>655</v>
      </c>
      <c r="B647" t="s">
        <v>746</v>
      </c>
      <c r="C647" t="s">
        <v>750</v>
      </c>
      <c r="D647" t="s">
        <v>749</v>
      </c>
      <c r="E647">
        <v>18</v>
      </c>
      <c r="F647" t="s">
        <v>674</v>
      </c>
      <c r="G647" s="20">
        <v>2</v>
      </c>
      <c r="H647">
        <v>2</v>
      </c>
      <c r="I647">
        <v>24.728999999999999</v>
      </c>
      <c r="J647">
        <v>68.307000000000002</v>
      </c>
      <c r="K647">
        <v>7.5659999999999998</v>
      </c>
      <c r="L647" s="8">
        <v>0</v>
      </c>
      <c r="M647" s="8" t="s">
        <v>451</v>
      </c>
      <c r="N647" s="14" t="s">
        <v>452</v>
      </c>
    </row>
    <row r="648" spans="1:15" x14ac:dyDescent="0.25">
      <c r="A648" t="s">
        <v>655</v>
      </c>
      <c r="B648" t="s">
        <v>746</v>
      </c>
      <c r="C648" t="s">
        <v>750</v>
      </c>
      <c r="D648" t="s">
        <v>749</v>
      </c>
      <c r="E648">
        <v>19</v>
      </c>
      <c r="F648" t="s">
        <v>675</v>
      </c>
      <c r="G648" s="20">
        <v>2</v>
      </c>
      <c r="H648">
        <v>2</v>
      </c>
      <c r="I648">
        <v>21.033999999999999</v>
      </c>
      <c r="J648">
        <v>67.707999999999998</v>
      </c>
      <c r="K648">
        <v>7.5309999999999997</v>
      </c>
      <c r="L648" s="8">
        <v>0</v>
      </c>
      <c r="M648" s="8" t="s">
        <v>451</v>
      </c>
      <c r="N648" s="14" t="s">
        <v>452</v>
      </c>
    </row>
    <row r="649" spans="1:15" x14ac:dyDescent="0.25">
      <c r="A649" t="s">
        <v>655</v>
      </c>
      <c r="B649" t="s">
        <v>746</v>
      </c>
      <c r="C649" t="s">
        <v>750</v>
      </c>
      <c r="D649" t="s">
        <v>749</v>
      </c>
      <c r="E649">
        <v>20</v>
      </c>
      <c r="F649" t="s">
        <v>676</v>
      </c>
      <c r="G649" s="20">
        <v>2</v>
      </c>
      <c r="H649">
        <v>2</v>
      </c>
      <c r="I649">
        <f>28.505+18.367+13.134</f>
        <v>60.006</v>
      </c>
      <c r="J649">
        <v>63.829000000000001</v>
      </c>
      <c r="K649">
        <v>6.15</v>
      </c>
      <c r="L649" s="8">
        <v>2</v>
      </c>
      <c r="M649" s="8" t="s">
        <v>451</v>
      </c>
      <c r="N649" s="14">
        <v>4.2210000000000001</v>
      </c>
    </row>
    <row r="650" spans="1:15" x14ac:dyDescent="0.25">
      <c r="A650" t="s">
        <v>655</v>
      </c>
      <c r="B650" t="s">
        <v>746</v>
      </c>
      <c r="C650" t="s">
        <v>750</v>
      </c>
      <c r="D650" t="s">
        <v>749</v>
      </c>
      <c r="E650">
        <v>21</v>
      </c>
      <c r="F650" t="s">
        <v>677</v>
      </c>
      <c r="G650" s="20">
        <v>2</v>
      </c>
      <c r="H650">
        <v>2</v>
      </c>
      <c r="I650">
        <v>40.89</v>
      </c>
      <c r="J650">
        <v>78.775000000000006</v>
      </c>
      <c r="K650">
        <v>7.02</v>
      </c>
      <c r="L650" s="8">
        <v>0</v>
      </c>
      <c r="M650" s="8" t="s">
        <v>451</v>
      </c>
      <c r="N650" s="14" t="s">
        <v>452</v>
      </c>
    </row>
    <row r="651" spans="1:15" x14ac:dyDescent="0.25">
      <c r="A651" t="s">
        <v>655</v>
      </c>
      <c r="B651" t="s">
        <v>746</v>
      </c>
      <c r="C651" t="s">
        <v>750</v>
      </c>
      <c r="D651" t="s">
        <v>749</v>
      </c>
      <c r="E651">
        <v>22</v>
      </c>
      <c r="F651" t="s">
        <v>678</v>
      </c>
      <c r="G651" s="20">
        <v>2</v>
      </c>
      <c r="H651">
        <v>2</v>
      </c>
      <c r="I651">
        <v>40.570999999999998</v>
      </c>
      <c r="J651">
        <v>76.510999999999996</v>
      </c>
      <c r="K651">
        <f>(4.768+4.265)/2</f>
        <v>4.5164999999999997</v>
      </c>
      <c r="L651" s="8">
        <v>1</v>
      </c>
      <c r="M651" s="8" t="s">
        <v>454</v>
      </c>
      <c r="N651" s="14">
        <v>0</v>
      </c>
    </row>
    <row r="652" spans="1:15" x14ac:dyDescent="0.25">
      <c r="A652" t="s">
        <v>655</v>
      </c>
      <c r="B652" t="s">
        <v>746</v>
      </c>
      <c r="C652" t="s">
        <v>750</v>
      </c>
      <c r="D652" t="s">
        <v>749</v>
      </c>
      <c r="E652">
        <v>23</v>
      </c>
      <c r="F652" t="s">
        <v>679</v>
      </c>
      <c r="G652" s="20">
        <v>3</v>
      </c>
      <c r="H652">
        <v>3</v>
      </c>
      <c r="I652">
        <f>80.403+5.596</f>
        <v>85.999000000000009</v>
      </c>
      <c r="J652">
        <v>53.835000000000001</v>
      </c>
      <c r="K652">
        <f>(2.758+1.656)/2</f>
        <v>2.2069999999999999</v>
      </c>
      <c r="L652" s="8">
        <v>1</v>
      </c>
      <c r="M652" s="8" t="s">
        <v>451</v>
      </c>
      <c r="N652" s="14">
        <v>23.285</v>
      </c>
    </row>
    <row r="653" spans="1:15" x14ac:dyDescent="0.25">
      <c r="A653" t="s">
        <v>655</v>
      </c>
      <c r="B653" t="s">
        <v>746</v>
      </c>
      <c r="C653" t="s">
        <v>750</v>
      </c>
      <c r="D653" t="s">
        <v>749</v>
      </c>
      <c r="E653">
        <v>24</v>
      </c>
      <c r="F653" t="s">
        <v>680</v>
      </c>
      <c r="G653" s="20">
        <v>3</v>
      </c>
      <c r="H653">
        <v>4</v>
      </c>
      <c r="I653">
        <v>60.854999999999997</v>
      </c>
      <c r="J653">
        <v>23.300999999999998</v>
      </c>
      <c r="K653">
        <f>(2.297+3.231)/2</f>
        <v>2.7640000000000002</v>
      </c>
      <c r="L653" s="8">
        <v>0</v>
      </c>
      <c r="M653" s="8" t="s">
        <v>451</v>
      </c>
      <c r="N653" s="14" t="s">
        <v>452</v>
      </c>
    </row>
    <row r="654" spans="1:15" x14ac:dyDescent="0.25">
      <c r="A654" t="s">
        <v>655</v>
      </c>
      <c r="B654" t="s">
        <v>746</v>
      </c>
      <c r="C654" t="s">
        <v>750</v>
      </c>
      <c r="D654" t="s">
        <v>749</v>
      </c>
      <c r="E654">
        <v>25</v>
      </c>
      <c r="F654" t="s">
        <v>681</v>
      </c>
      <c r="G654" s="20">
        <v>3</v>
      </c>
      <c r="H654">
        <v>4</v>
      </c>
      <c r="I654">
        <v>68.923000000000002</v>
      </c>
      <c r="J654">
        <v>30.427</v>
      </c>
      <c r="K654">
        <f>(2.53+1.931)/2</f>
        <v>2.2305000000000001</v>
      </c>
      <c r="L654" s="8">
        <v>0</v>
      </c>
      <c r="M654" s="8" t="s">
        <v>451</v>
      </c>
      <c r="N654" s="14" t="s">
        <v>452</v>
      </c>
    </row>
    <row r="655" spans="1:15" x14ac:dyDescent="0.25">
      <c r="A655" t="s">
        <v>655</v>
      </c>
      <c r="B655" t="s">
        <v>746</v>
      </c>
      <c r="C655" t="s">
        <v>750</v>
      </c>
      <c r="D655" t="s">
        <v>749</v>
      </c>
      <c r="E655">
        <v>26</v>
      </c>
      <c r="F655" t="s">
        <v>682</v>
      </c>
      <c r="G655" s="20">
        <v>3</v>
      </c>
      <c r="H655">
        <v>4</v>
      </c>
      <c r="I655">
        <f>69.175+8.572+20.185</f>
        <v>97.932000000000002</v>
      </c>
      <c r="J655">
        <v>12.358000000000001</v>
      </c>
      <c r="K655">
        <f>(2.674+2.943)/2</f>
        <v>2.8085</v>
      </c>
      <c r="L655" s="8">
        <v>1</v>
      </c>
      <c r="M655" s="8" t="s">
        <v>451</v>
      </c>
      <c r="N655" s="14">
        <v>4.8879999999999999</v>
      </c>
      <c r="O655" s="1" t="s">
        <v>683</v>
      </c>
    </row>
    <row r="656" spans="1:15" x14ac:dyDescent="0.25">
      <c r="A656" t="s">
        <v>655</v>
      </c>
      <c r="B656" t="s">
        <v>746</v>
      </c>
      <c r="C656" t="s">
        <v>750</v>
      </c>
      <c r="D656" t="s">
        <v>749</v>
      </c>
      <c r="E656">
        <v>27</v>
      </c>
      <c r="F656" t="s">
        <v>684</v>
      </c>
      <c r="G656" s="20">
        <v>3</v>
      </c>
      <c r="H656">
        <v>4</v>
      </c>
      <c r="I656">
        <f>34.179+18.966</f>
        <v>53.145000000000003</v>
      </c>
      <c r="J656">
        <v>18.742000000000001</v>
      </c>
      <c r="K656">
        <v>1.87</v>
      </c>
      <c r="L656" s="8">
        <v>1</v>
      </c>
      <c r="M656" s="8" t="s">
        <v>451</v>
      </c>
      <c r="N656" s="14">
        <v>16.132999999999999</v>
      </c>
    </row>
    <row r="657" spans="1:15" x14ac:dyDescent="0.25">
      <c r="A657" t="s">
        <v>655</v>
      </c>
      <c r="B657" t="s">
        <v>746</v>
      </c>
      <c r="C657" t="s">
        <v>750</v>
      </c>
      <c r="D657" t="s">
        <v>749</v>
      </c>
      <c r="E657">
        <v>28</v>
      </c>
      <c r="F657" t="s">
        <v>685</v>
      </c>
      <c r="G657" s="20">
        <v>3</v>
      </c>
      <c r="H657">
        <v>2</v>
      </c>
      <c r="I657">
        <f>63.685+5.558</f>
        <v>69.242999999999995</v>
      </c>
      <c r="J657">
        <v>77.802999999999997</v>
      </c>
      <c r="K657">
        <f>(3.121+2.792)/2</f>
        <v>2.9565000000000001</v>
      </c>
      <c r="L657" s="8">
        <v>1</v>
      </c>
      <c r="M657" s="8" t="s">
        <v>451</v>
      </c>
      <c r="N657" s="14">
        <v>3.8809999999999998</v>
      </c>
      <c r="O657" s="1" t="s">
        <v>158</v>
      </c>
    </row>
    <row r="658" spans="1:15" x14ac:dyDescent="0.25">
      <c r="A658" t="s">
        <v>655</v>
      </c>
      <c r="B658" t="s">
        <v>746</v>
      </c>
      <c r="C658" t="s">
        <v>750</v>
      </c>
      <c r="D658" t="s">
        <v>749</v>
      </c>
      <c r="E658">
        <v>29</v>
      </c>
      <c r="F658" t="s">
        <v>686</v>
      </c>
      <c r="G658" s="20">
        <v>3</v>
      </c>
      <c r="H658">
        <v>4</v>
      </c>
      <c r="I658">
        <f>124.959+21.095</f>
        <v>146.054</v>
      </c>
      <c r="J658">
        <v>41.658999999999999</v>
      </c>
      <c r="K658">
        <f>(3.388+3.388+3.059+0.788)/4</f>
        <v>2.6557500000000003</v>
      </c>
      <c r="L658" s="8">
        <v>1</v>
      </c>
      <c r="M658" s="8" t="s">
        <v>454</v>
      </c>
      <c r="N658" s="14">
        <v>0</v>
      </c>
      <c r="O658" s="1" t="s">
        <v>158</v>
      </c>
    </row>
    <row r="659" spans="1:15" x14ac:dyDescent="0.25">
      <c r="A659" t="s">
        <v>655</v>
      </c>
      <c r="B659" t="s">
        <v>746</v>
      </c>
      <c r="C659" t="s">
        <v>750</v>
      </c>
      <c r="D659" t="s">
        <v>749</v>
      </c>
      <c r="E659">
        <v>30</v>
      </c>
      <c r="F659" t="s">
        <v>687</v>
      </c>
      <c r="G659" s="20">
        <v>3</v>
      </c>
      <c r="H659">
        <v>4</v>
      </c>
      <c r="I659">
        <f>39.356+25.81</f>
        <v>65.165999999999997</v>
      </c>
      <c r="J659">
        <v>19.036000000000001</v>
      </c>
      <c r="K659">
        <f>(2.418+2.522)/2</f>
        <v>2.4699999999999998</v>
      </c>
      <c r="L659" s="8">
        <v>1</v>
      </c>
      <c r="M659" s="8" t="s">
        <v>451</v>
      </c>
      <c r="N659" s="14">
        <v>0.66400000000000003</v>
      </c>
    </row>
    <row r="660" spans="1:15" x14ac:dyDescent="0.25">
      <c r="A660" t="s">
        <v>655</v>
      </c>
      <c r="B660" t="s">
        <v>746</v>
      </c>
      <c r="C660" t="s">
        <v>750</v>
      </c>
      <c r="D660" t="s">
        <v>749</v>
      </c>
      <c r="E660">
        <v>31</v>
      </c>
      <c r="F660" t="s">
        <v>688</v>
      </c>
      <c r="G660" s="20">
        <v>3</v>
      </c>
      <c r="H660">
        <v>3</v>
      </c>
      <c r="I660">
        <f>49.098+69.341</f>
        <v>118.43899999999999</v>
      </c>
      <c r="J660">
        <v>42.408000000000001</v>
      </c>
      <c r="K660">
        <f>(2.864+3.121+5.931)/3</f>
        <v>3.972</v>
      </c>
      <c r="L660" s="8">
        <v>2</v>
      </c>
      <c r="M660" s="8" t="s">
        <v>454</v>
      </c>
      <c r="N660" s="14">
        <v>0</v>
      </c>
    </row>
    <row r="661" spans="1:15" x14ac:dyDescent="0.25">
      <c r="A661" t="s">
        <v>655</v>
      </c>
      <c r="B661" t="s">
        <v>746</v>
      </c>
      <c r="C661" t="s">
        <v>750</v>
      </c>
      <c r="D661" t="s">
        <v>749</v>
      </c>
      <c r="E661">
        <v>32</v>
      </c>
      <c r="F661" t="s">
        <v>689</v>
      </c>
      <c r="G661" s="20">
        <v>3</v>
      </c>
      <c r="H661">
        <v>3</v>
      </c>
      <c r="I661">
        <f>86.214+41.816</f>
        <v>128.03</v>
      </c>
      <c r="J661">
        <v>49.655000000000001</v>
      </c>
      <c r="K661">
        <f>(1.807+1.937)/2</f>
        <v>1.8719999999999999</v>
      </c>
      <c r="L661" s="8">
        <v>1</v>
      </c>
      <c r="M661" s="8" t="s">
        <v>451</v>
      </c>
      <c r="N661" s="14">
        <v>49.832999999999998</v>
      </c>
    </row>
    <row r="662" spans="1:15" x14ac:dyDescent="0.25">
      <c r="A662" t="s">
        <v>655</v>
      </c>
      <c r="B662" t="s">
        <v>746</v>
      </c>
      <c r="C662" t="s">
        <v>750</v>
      </c>
      <c r="D662" t="s">
        <v>749</v>
      </c>
      <c r="E662">
        <v>33</v>
      </c>
      <c r="F662" t="s">
        <v>690</v>
      </c>
      <c r="G662" s="20">
        <v>3</v>
      </c>
      <c r="H662">
        <v>3</v>
      </c>
      <c r="I662">
        <v>93.569000000000003</v>
      </c>
      <c r="J662">
        <v>49.360999999999997</v>
      </c>
      <c r="K662">
        <f>(1.902+2.45)/2</f>
        <v>2.1760000000000002</v>
      </c>
      <c r="L662" s="8">
        <v>0</v>
      </c>
      <c r="M662" s="8" t="s">
        <v>451</v>
      </c>
      <c r="N662" s="14" t="s">
        <v>452</v>
      </c>
      <c r="O662" s="1" t="s">
        <v>65</v>
      </c>
    </row>
    <row r="663" spans="1:15" x14ac:dyDescent="0.25">
      <c r="A663" t="s">
        <v>655</v>
      </c>
      <c r="B663" t="s">
        <v>746</v>
      </c>
      <c r="C663" t="s">
        <v>750</v>
      </c>
      <c r="D663" t="s">
        <v>749</v>
      </c>
      <c r="E663">
        <v>34</v>
      </c>
      <c r="F663" t="s">
        <v>691</v>
      </c>
      <c r="G663" s="20">
        <v>3</v>
      </c>
      <c r="H663">
        <v>4</v>
      </c>
      <c r="I663">
        <f>58.214+3.967</f>
        <v>62.180999999999997</v>
      </c>
      <c r="J663">
        <v>27.344999999999999</v>
      </c>
      <c r="K663">
        <f>(2.632+2.731)/2</f>
        <v>2.6814999999999998</v>
      </c>
      <c r="L663" s="8">
        <v>2</v>
      </c>
      <c r="M663" s="8" t="s">
        <v>454</v>
      </c>
      <c r="N663" s="14">
        <v>0</v>
      </c>
    </row>
    <row r="664" spans="1:15" x14ac:dyDescent="0.25">
      <c r="A664" t="s">
        <v>655</v>
      </c>
      <c r="B664" t="s">
        <v>746</v>
      </c>
      <c r="C664" t="s">
        <v>750</v>
      </c>
      <c r="D664" t="s">
        <v>749</v>
      </c>
      <c r="E664">
        <v>35</v>
      </c>
      <c r="F664" t="s">
        <v>692</v>
      </c>
      <c r="G664" s="20">
        <v>3</v>
      </c>
      <c r="H664">
        <v>4</v>
      </c>
      <c r="I664">
        <v>91.92</v>
      </c>
      <c r="J664">
        <v>16.998000000000001</v>
      </c>
      <c r="K664">
        <f>(3.277+1.891)/2</f>
        <v>2.5840000000000001</v>
      </c>
      <c r="L664" s="8">
        <v>1</v>
      </c>
      <c r="M664" s="8" t="s">
        <v>454</v>
      </c>
      <c r="N664" s="14">
        <v>0</v>
      </c>
    </row>
    <row r="665" spans="1:15" x14ac:dyDescent="0.25">
      <c r="A665" t="s">
        <v>655</v>
      </c>
      <c r="B665" t="s">
        <v>746</v>
      </c>
      <c r="C665" t="s">
        <v>750</v>
      </c>
      <c r="D665" t="s">
        <v>749</v>
      </c>
      <c r="E665">
        <v>36</v>
      </c>
      <c r="F665" t="s">
        <v>693</v>
      </c>
      <c r="G665" s="20">
        <v>3</v>
      </c>
      <c r="H665">
        <v>3</v>
      </c>
      <c r="I665">
        <f>83.17+18.224</f>
        <v>101.39400000000001</v>
      </c>
      <c r="J665">
        <v>40.918999999999997</v>
      </c>
      <c r="K665">
        <f>(3.555+4.124)/2</f>
        <v>3.8395000000000001</v>
      </c>
      <c r="L665" s="8">
        <v>1</v>
      </c>
      <c r="M665" s="8" t="s">
        <v>451</v>
      </c>
      <c r="N665" s="14">
        <v>13.473000000000001</v>
      </c>
    </row>
    <row r="666" spans="1:15" x14ac:dyDescent="0.25">
      <c r="A666" t="s">
        <v>655</v>
      </c>
      <c r="B666" t="s">
        <v>746</v>
      </c>
      <c r="C666" t="s">
        <v>750</v>
      </c>
      <c r="D666" t="s">
        <v>749</v>
      </c>
      <c r="E666">
        <v>37</v>
      </c>
      <c r="F666" t="s">
        <v>694</v>
      </c>
      <c r="G666" s="20">
        <v>3</v>
      </c>
      <c r="H666">
        <v>3</v>
      </c>
      <c r="I666">
        <f>62.549+11.769</f>
        <v>74.317999999999998</v>
      </c>
      <c r="J666">
        <v>45.28</v>
      </c>
      <c r="K666">
        <f>(3.863+3.342+1.576)/3</f>
        <v>2.927</v>
      </c>
      <c r="L666" s="8">
        <v>3</v>
      </c>
      <c r="M666" s="8" t="s">
        <v>454</v>
      </c>
      <c r="N666" s="14">
        <v>0</v>
      </c>
    </row>
    <row r="667" spans="1:15" x14ac:dyDescent="0.25">
      <c r="A667" t="s">
        <v>655</v>
      </c>
      <c r="B667" t="s">
        <v>746</v>
      </c>
      <c r="C667" t="s">
        <v>750</v>
      </c>
      <c r="D667" t="s">
        <v>749</v>
      </c>
      <c r="E667">
        <v>38</v>
      </c>
      <c r="F667" t="s">
        <v>695</v>
      </c>
      <c r="G667" s="20">
        <v>3</v>
      </c>
      <c r="H667">
        <v>3</v>
      </c>
      <c r="I667">
        <f>57.596+3.654</f>
        <v>61.25</v>
      </c>
      <c r="J667">
        <v>46.817</v>
      </c>
      <c r="K667">
        <f>(2.972+3.271)/2</f>
        <v>3.1215000000000002</v>
      </c>
      <c r="L667" s="8">
        <v>1</v>
      </c>
      <c r="M667" s="8" t="s">
        <v>454</v>
      </c>
      <c r="N667" s="14">
        <v>0</v>
      </c>
    </row>
    <row r="668" spans="1:15" x14ac:dyDescent="0.25">
      <c r="A668" t="s">
        <v>655</v>
      </c>
      <c r="B668" t="s">
        <v>746</v>
      </c>
      <c r="C668" t="s">
        <v>750</v>
      </c>
      <c r="D668" t="s">
        <v>749</v>
      </c>
      <c r="E668">
        <v>39</v>
      </c>
      <c r="F668" t="s">
        <v>696</v>
      </c>
      <c r="G668" s="20">
        <v>3</v>
      </c>
      <c r="H668">
        <v>4</v>
      </c>
      <c r="I668">
        <f>56.874+23.346</f>
        <v>80.22</v>
      </c>
      <c r="J668">
        <v>17.097999999999999</v>
      </c>
      <c r="K668">
        <f>(3.627+2.601+2.584)/3</f>
        <v>2.9373333333333331</v>
      </c>
      <c r="L668" s="8">
        <v>1</v>
      </c>
      <c r="M668" s="8" t="s">
        <v>454</v>
      </c>
      <c r="N668" s="14">
        <v>0</v>
      </c>
    </row>
    <row r="669" spans="1:15" x14ac:dyDescent="0.25">
      <c r="A669" t="s">
        <v>655</v>
      </c>
      <c r="B669" t="s">
        <v>746</v>
      </c>
      <c r="C669" t="s">
        <v>750</v>
      </c>
      <c r="D669" t="s">
        <v>749</v>
      </c>
      <c r="E669">
        <v>40</v>
      </c>
      <c r="F669" t="s">
        <v>697</v>
      </c>
      <c r="G669" s="20">
        <v>3</v>
      </c>
      <c r="H669">
        <v>4</v>
      </c>
      <c r="I669">
        <f>59.507+19.928+7.289</f>
        <v>86.724000000000004</v>
      </c>
      <c r="J669">
        <v>22.881</v>
      </c>
      <c r="K669">
        <f>(2.805+2.405)/2</f>
        <v>2.605</v>
      </c>
      <c r="L669" s="8">
        <v>2</v>
      </c>
      <c r="M669" s="8" t="s">
        <v>451</v>
      </c>
      <c r="N669" s="14">
        <v>18.585999999999999</v>
      </c>
      <c r="O669" s="1" t="s">
        <v>158</v>
      </c>
    </row>
    <row r="670" spans="1:15" x14ac:dyDescent="0.25">
      <c r="A670" t="s">
        <v>655</v>
      </c>
      <c r="B670" t="s">
        <v>746</v>
      </c>
      <c r="C670" t="s">
        <v>750</v>
      </c>
      <c r="D670" t="s">
        <v>749</v>
      </c>
      <c r="E670">
        <v>41</v>
      </c>
      <c r="F670" t="s">
        <v>698</v>
      </c>
      <c r="G670" s="20">
        <v>3</v>
      </c>
      <c r="H670">
        <v>3</v>
      </c>
      <c r="I670">
        <f>69.315+4.908+2.447</f>
        <v>76.67</v>
      </c>
      <c r="J670">
        <v>37.113</v>
      </c>
      <c r="K670">
        <f>(2.713+2.608+2.924)/3</f>
        <v>2.7483333333333331</v>
      </c>
      <c r="L670" s="8">
        <v>2</v>
      </c>
      <c r="M670" s="8" t="s">
        <v>454</v>
      </c>
      <c r="N670" s="14">
        <v>0</v>
      </c>
    </row>
    <row r="671" spans="1:15" x14ac:dyDescent="0.25">
      <c r="A671" t="s">
        <v>655</v>
      </c>
      <c r="B671" t="s">
        <v>746</v>
      </c>
      <c r="C671" t="s">
        <v>750</v>
      </c>
      <c r="D671" t="s">
        <v>749</v>
      </c>
      <c r="E671">
        <v>42</v>
      </c>
      <c r="F671" t="s">
        <v>699</v>
      </c>
      <c r="G671" s="20">
        <v>3</v>
      </c>
      <c r="H671">
        <v>3</v>
      </c>
      <c r="I671">
        <f>75.87+31.587</f>
        <v>107.45700000000001</v>
      </c>
      <c r="J671">
        <v>42.314999999999998</v>
      </c>
      <c r="K671">
        <f>(2.823+2.699+3.538)/3</f>
        <v>3.02</v>
      </c>
      <c r="L671" s="8">
        <v>1</v>
      </c>
      <c r="M671" s="8" t="s">
        <v>454</v>
      </c>
      <c r="N671" s="14">
        <v>0</v>
      </c>
    </row>
    <row r="672" spans="1:15" x14ac:dyDescent="0.25">
      <c r="A672" t="s">
        <v>655</v>
      </c>
      <c r="B672" t="s">
        <v>746</v>
      </c>
      <c r="C672" t="s">
        <v>750</v>
      </c>
      <c r="D672" t="s">
        <v>749</v>
      </c>
      <c r="E672">
        <v>43</v>
      </c>
      <c r="F672" t="s">
        <v>700</v>
      </c>
      <c r="G672" s="20">
        <v>3</v>
      </c>
      <c r="H672">
        <v>4</v>
      </c>
      <c r="I672">
        <f>65.769+22.476</f>
        <v>88.245000000000005</v>
      </c>
      <c r="J672">
        <v>28.448</v>
      </c>
      <c r="K672">
        <f>(2.454+2.584+2.363)/3</f>
        <v>2.4670000000000001</v>
      </c>
      <c r="L672" s="8">
        <v>1</v>
      </c>
      <c r="M672" s="8" t="s">
        <v>454</v>
      </c>
      <c r="N672" s="14">
        <v>0</v>
      </c>
    </row>
    <row r="673" spans="1:15" x14ac:dyDescent="0.25">
      <c r="A673" t="s">
        <v>655</v>
      </c>
      <c r="B673" t="s">
        <v>746</v>
      </c>
      <c r="C673" t="s">
        <v>750</v>
      </c>
      <c r="D673" t="s">
        <v>749</v>
      </c>
      <c r="E673">
        <v>44</v>
      </c>
      <c r="F673" t="s">
        <v>701</v>
      </c>
      <c r="G673" s="20">
        <v>3</v>
      </c>
      <c r="H673">
        <v>4</v>
      </c>
      <c r="I673">
        <f>80.261+26.313</f>
        <v>106.574</v>
      </c>
      <c r="J673">
        <v>41.841000000000001</v>
      </c>
      <c r="K673">
        <f>(2.443+2.35+3.016)/3</f>
        <v>2.6030000000000002</v>
      </c>
      <c r="L673" s="8">
        <v>1</v>
      </c>
      <c r="M673" s="8" t="s">
        <v>454</v>
      </c>
      <c r="N673" s="14">
        <v>0</v>
      </c>
      <c r="O673" s="1" t="s">
        <v>158</v>
      </c>
    </row>
    <row r="674" spans="1:15" x14ac:dyDescent="0.25">
      <c r="A674" t="s">
        <v>655</v>
      </c>
      <c r="B674" t="s">
        <v>746</v>
      </c>
      <c r="C674" t="s">
        <v>750</v>
      </c>
      <c r="D674" t="s">
        <v>749</v>
      </c>
      <c r="E674">
        <v>45</v>
      </c>
      <c r="F674" t="s">
        <v>702</v>
      </c>
      <c r="G674" s="20">
        <v>3</v>
      </c>
      <c r="H674">
        <v>4</v>
      </c>
      <c r="I674">
        <v>123.73</v>
      </c>
      <c r="J674">
        <v>21.332999999999998</v>
      </c>
      <c r="K674">
        <f>(1.937+3.004)/2</f>
        <v>2.4704999999999999</v>
      </c>
      <c r="L674" s="8">
        <v>0</v>
      </c>
      <c r="M674" s="8" t="s">
        <v>451</v>
      </c>
      <c r="N674" s="14" t="s">
        <v>452</v>
      </c>
    </row>
    <row r="675" spans="1:15" x14ac:dyDescent="0.25">
      <c r="A675" t="s">
        <v>655</v>
      </c>
      <c r="B675" t="s">
        <v>746</v>
      </c>
      <c r="C675" t="s">
        <v>750</v>
      </c>
      <c r="D675" t="s">
        <v>749</v>
      </c>
      <c r="E675">
        <v>46</v>
      </c>
      <c r="F675" t="s">
        <v>703</v>
      </c>
      <c r="G675" s="20">
        <v>3</v>
      </c>
      <c r="H675">
        <v>4</v>
      </c>
      <c r="I675">
        <f>110.889+41.1</f>
        <v>151.989</v>
      </c>
      <c r="J675">
        <v>12.444000000000001</v>
      </c>
      <c r="K675">
        <f>(2.711+2.794+2.231)/3</f>
        <v>2.5786666666666664</v>
      </c>
      <c r="L675" s="8">
        <v>1</v>
      </c>
      <c r="M675" s="8" t="s">
        <v>454</v>
      </c>
      <c r="N675" s="14">
        <v>0</v>
      </c>
    </row>
    <row r="676" spans="1:15" x14ac:dyDescent="0.25">
      <c r="A676" t="s">
        <v>655</v>
      </c>
      <c r="B676" t="s">
        <v>746</v>
      </c>
      <c r="C676" t="s">
        <v>750</v>
      </c>
      <c r="D676" t="s">
        <v>749</v>
      </c>
      <c r="E676">
        <v>47</v>
      </c>
      <c r="F676" t="s">
        <v>704</v>
      </c>
      <c r="G676" s="20">
        <v>3</v>
      </c>
      <c r="H676">
        <v>3</v>
      </c>
      <c r="I676">
        <f>61.231+18.962+33.268</f>
        <v>113.461</v>
      </c>
      <c r="J676">
        <v>39.628999999999998</v>
      </c>
      <c r="K676">
        <f>(1.996+3.255)/2</f>
        <v>2.6254999999999997</v>
      </c>
      <c r="L676" s="8">
        <v>2</v>
      </c>
      <c r="M676" s="8" t="s">
        <v>451</v>
      </c>
    </row>
    <row r="677" spans="1:15" x14ac:dyDescent="0.25">
      <c r="A677" t="s">
        <v>655</v>
      </c>
      <c r="B677" t="s">
        <v>746</v>
      </c>
      <c r="C677" t="s">
        <v>750</v>
      </c>
      <c r="D677" t="s">
        <v>749</v>
      </c>
      <c r="E677">
        <v>48</v>
      </c>
      <c r="F677" t="s">
        <v>705</v>
      </c>
      <c r="G677" s="20">
        <v>3</v>
      </c>
      <c r="H677">
        <v>3</v>
      </c>
      <c r="I677">
        <f>50.181+9.787</f>
        <v>59.967999999999996</v>
      </c>
      <c r="J677">
        <v>45.201999999999998</v>
      </c>
      <c r="K677">
        <f>(2.2+3.369)/2</f>
        <v>2.7845000000000004</v>
      </c>
      <c r="L677" s="8">
        <v>1</v>
      </c>
      <c r="M677" s="8" t="s">
        <v>451</v>
      </c>
      <c r="N677" s="14">
        <v>17.329000000000001</v>
      </c>
    </row>
    <row r="678" spans="1:15" x14ac:dyDescent="0.25">
      <c r="A678" t="s">
        <v>655</v>
      </c>
      <c r="B678" t="s">
        <v>746</v>
      </c>
      <c r="C678" t="s">
        <v>750</v>
      </c>
      <c r="D678" t="s">
        <v>749</v>
      </c>
      <c r="E678">
        <v>49</v>
      </c>
      <c r="F678" t="s">
        <v>706</v>
      </c>
      <c r="G678" s="20">
        <v>3</v>
      </c>
      <c r="H678">
        <v>3</v>
      </c>
      <c r="I678">
        <f>85.68+58.969+4.739</f>
        <v>149.38800000000001</v>
      </c>
      <c r="J678">
        <v>46.462000000000003</v>
      </c>
      <c r="K678">
        <f>(1.607+3.03+1.931)/3</f>
        <v>2.1893333333333334</v>
      </c>
      <c r="L678" s="8">
        <v>3</v>
      </c>
      <c r="M678" s="8" t="s">
        <v>454</v>
      </c>
      <c r="N678" s="14">
        <v>0</v>
      </c>
    </row>
    <row r="679" spans="1:15" x14ac:dyDescent="0.25">
      <c r="A679" t="s">
        <v>655</v>
      </c>
      <c r="B679" t="s">
        <v>746</v>
      </c>
      <c r="C679" t="s">
        <v>750</v>
      </c>
      <c r="D679" t="s">
        <v>749</v>
      </c>
      <c r="E679">
        <v>50</v>
      </c>
      <c r="F679" t="s">
        <v>707</v>
      </c>
      <c r="G679" s="20">
        <v>3</v>
      </c>
      <c r="H679">
        <v>3</v>
      </c>
      <c r="I679">
        <f>69.483+18.849+10.352</f>
        <v>98.684000000000012</v>
      </c>
      <c r="J679">
        <v>43.177999999999997</v>
      </c>
      <c r="K679">
        <f>(2.22+3.248+2.008+2.005)/4</f>
        <v>2.37025</v>
      </c>
      <c r="L679" s="8">
        <v>2</v>
      </c>
      <c r="M679" s="8" t="s">
        <v>454</v>
      </c>
      <c r="N679" s="14">
        <v>0</v>
      </c>
    </row>
    <row r="680" spans="1:15" x14ac:dyDescent="0.25">
      <c r="A680" t="s">
        <v>655</v>
      </c>
      <c r="B680" t="s">
        <v>746</v>
      </c>
      <c r="C680" t="s">
        <v>750</v>
      </c>
      <c r="D680" t="s">
        <v>749</v>
      </c>
      <c r="E680">
        <v>51</v>
      </c>
      <c r="F680" t="s">
        <v>708</v>
      </c>
      <c r="G680" s="20">
        <v>3</v>
      </c>
      <c r="H680">
        <v>3</v>
      </c>
      <c r="I680">
        <f>86.423+16.125</f>
        <v>102.548</v>
      </c>
      <c r="J680">
        <v>59.273000000000003</v>
      </c>
      <c r="K680">
        <f>(2.208+1.37+3.008)/3</f>
        <v>2.1953333333333336</v>
      </c>
      <c r="L680" s="8">
        <v>1</v>
      </c>
      <c r="M680" s="8" t="s">
        <v>454</v>
      </c>
      <c r="N680" s="14">
        <v>0</v>
      </c>
    </row>
    <row r="681" spans="1:15" x14ac:dyDescent="0.25">
      <c r="A681" t="s">
        <v>655</v>
      </c>
      <c r="B681" t="s">
        <v>746</v>
      </c>
      <c r="C681" t="s">
        <v>750</v>
      </c>
      <c r="D681" t="s">
        <v>749</v>
      </c>
      <c r="E681">
        <v>52</v>
      </c>
      <c r="F681" t="s">
        <v>709</v>
      </c>
      <c r="G681" s="20">
        <v>3</v>
      </c>
      <c r="H681">
        <v>4</v>
      </c>
      <c r="I681">
        <v>97.715999999999994</v>
      </c>
      <c r="J681">
        <v>28.224</v>
      </c>
      <c r="K681">
        <f>(3.794+3.027)/2</f>
        <v>3.4104999999999999</v>
      </c>
      <c r="L681" s="8">
        <v>1</v>
      </c>
      <c r="M681" s="8" t="s">
        <v>454</v>
      </c>
      <c r="N681" s="14">
        <v>0</v>
      </c>
    </row>
    <row r="682" spans="1:15" x14ac:dyDescent="0.25">
      <c r="A682" t="s">
        <v>655</v>
      </c>
      <c r="B682" t="s">
        <v>746</v>
      </c>
      <c r="C682" t="s">
        <v>750</v>
      </c>
      <c r="D682" t="s">
        <v>749</v>
      </c>
      <c r="E682">
        <v>53</v>
      </c>
      <c r="F682" t="s">
        <v>710</v>
      </c>
      <c r="G682" s="20">
        <v>3</v>
      </c>
      <c r="H682">
        <v>3</v>
      </c>
      <c r="I682">
        <f>64.701+17.037</f>
        <v>81.738</v>
      </c>
      <c r="J682">
        <v>59.774000000000001</v>
      </c>
      <c r="K682">
        <f>(0.951+3.503+1.487)/3</f>
        <v>1.9803333333333333</v>
      </c>
      <c r="L682" s="8">
        <v>1</v>
      </c>
      <c r="M682" s="8" t="s">
        <v>454</v>
      </c>
      <c r="N682" s="14">
        <v>0</v>
      </c>
    </row>
    <row r="683" spans="1:15" x14ac:dyDescent="0.25">
      <c r="A683" t="s">
        <v>655</v>
      </c>
      <c r="B683" t="s">
        <v>746</v>
      </c>
      <c r="C683" t="s">
        <v>750</v>
      </c>
      <c r="D683" t="s">
        <v>749</v>
      </c>
      <c r="E683">
        <v>54</v>
      </c>
      <c r="F683" t="s">
        <v>711</v>
      </c>
      <c r="G683" s="20">
        <v>3</v>
      </c>
      <c r="H683">
        <v>4</v>
      </c>
      <c r="I683">
        <f>71.314+24.178</f>
        <v>95.49199999999999</v>
      </c>
      <c r="J683">
        <v>19.768999999999998</v>
      </c>
      <c r="K683">
        <f>(2.361+2.805)/2</f>
        <v>2.5830000000000002</v>
      </c>
      <c r="L683" s="8">
        <v>1</v>
      </c>
      <c r="M683" s="8" t="s">
        <v>454</v>
      </c>
      <c r="N683" s="14">
        <v>0</v>
      </c>
    </row>
    <row r="684" spans="1:15" x14ac:dyDescent="0.25">
      <c r="A684" t="s">
        <v>655</v>
      </c>
      <c r="B684" t="s">
        <v>746</v>
      </c>
      <c r="C684" t="s">
        <v>750</v>
      </c>
      <c r="D684" t="s">
        <v>749</v>
      </c>
      <c r="E684">
        <v>55</v>
      </c>
      <c r="F684" t="s">
        <v>712</v>
      </c>
      <c r="G684" s="20">
        <v>3</v>
      </c>
      <c r="H684">
        <v>4</v>
      </c>
      <c r="I684">
        <v>82.661000000000001</v>
      </c>
      <c r="J684">
        <v>21.47</v>
      </c>
      <c r="K684">
        <f>(2.454+1.837)/2</f>
        <v>2.1455000000000002</v>
      </c>
      <c r="L684" s="8">
        <v>0</v>
      </c>
      <c r="M684" s="8" t="s">
        <v>451</v>
      </c>
      <c r="N684" s="14" t="s">
        <v>452</v>
      </c>
    </row>
    <row r="685" spans="1:15" x14ac:dyDescent="0.25">
      <c r="A685" t="s">
        <v>655</v>
      </c>
      <c r="B685" t="s">
        <v>746</v>
      </c>
      <c r="C685" t="s">
        <v>750</v>
      </c>
      <c r="D685" t="s">
        <v>749</v>
      </c>
      <c r="E685">
        <v>56</v>
      </c>
      <c r="F685" t="s">
        <v>713</v>
      </c>
      <c r="G685" s="20">
        <v>3</v>
      </c>
      <c r="H685">
        <v>4</v>
      </c>
      <c r="I685">
        <f>70.43+50.17</f>
        <v>120.60000000000001</v>
      </c>
      <c r="J685">
        <v>23.584</v>
      </c>
      <c r="K685">
        <f>(2.363+2.297+2.008+2.033)/4</f>
        <v>2.1752500000000001</v>
      </c>
      <c r="L685" s="8">
        <v>2</v>
      </c>
      <c r="M685" s="8" t="s">
        <v>454</v>
      </c>
      <c r="N685" s="14">
        <v>0</v>
      </c>
    </row>
    <row r="686" spans="1:15" x14ac:dyDescent="0.25">
      <c r="A686" t="s">
        <v>655</v>
      </c>
      <c r="B686" t="s">
        <v>746</v>
      </c>
      <c r="C686" t="s">
        <v>750</v>
      </c>
      <c r="D686" t="s">
        <v>749</v>
      </c>
      <c r="E686">
        <v>57</v>
      </c>
      <c r="F686" t="s">
        <v>714</v>
      </c>
      <c r="G686" s="20">
        <v>3</v>
      </c>
      <c r="H686">
        <v>3</v>
      </c>
      <c r="I686">
        <f>53.143+20.574</f>
        <v>73.716999999999999</v>
      </c>
      <c r="J686">
        <v>54.363</v>
      </c>
      <c r="K686">
        <f>(1.6+2.949+2.938)/3</f>
        <v>2.4956666666666667</v>
      </c>
      <c r="L686" s="8">
        <v>1</v>
      </c>
      <c r="M686" s="8" t="s">
        <v>454</v>
      </c>
      <c r="N686" s="14">
        <v>0</v>
      </c>
    </row>
    <row r="687" spans="1:15" x14ac:dyDescent="0.25">
      <c r="A687" t="s">
        <v>655</v>
      </c>
      <c r="B687" t="s">
        <v>746</v>
      </c>
      <c r="C687" t="s">
        <v>750</v>
      </c>
      <c r="D687" t="s">
        <v>749</v>
      </c>
      <c r="E687">
        <v>58</v>
      </c>
      <c r="F687" t="s">
        <v>715</v>
      </c>
      <c r="G687" s="20">
        <v>3</v>
      </c>
      <c r="H687">
        <v>4</v>
      </c>
      <c r="I687">
        <f>18.139+121.288</f>
        <v>139.42699999999999</v>
      </c>
      <c r="J687">
        <v>32.993000000000002</v>
      </c>
      <c r="K687">
        <f>(3.239+2.297+2.454)/3</f>
        <v>2.6633333333333336</v>
      </c>
      <c r="L687" s="8">
        <v>2</v>
      </c>
      <c r="M687" s="8" t="s">
        <v>454</v>
      </c>
      <c r="N687" s="14">
        <v>0</v>
      </c>
    </row>
    <row r="688" spans="1:15" x14ac:dyDescent="0.25">
      <c r="A688" t="s">
        <v>655</v>
      </c>
      <c r="B688" t="s">
        <v>746</v>
      </c>
      <c r="C688" t="s">
        <v>750</v>
      </c>
      <c r="D688" t="s">
        <v>749</v>
      </c>
      <c r="E688">
        <v>59</v>
      </c>
      <c r="F688" t="s">
        <v>716</v>
      </c>
      <c r="G688" s="20">
        <v>3</v>
      </c>
      <c r="H688">
        <v>4</v>
      </c>
      <c r="I688">
        <f>64.159+3.453</f>
        <v>67.612000000000009</v>
      </c>
      <c r="J688">
        <v>22.983000000000001</v>
      </c>
      <c r="K688">
        <f>(3.758+3.814)/2</f>
        <v>3.786</v>
      </c>
      <c r="L688" s="8">
        <v>1</v>
      </c>
      <c r="M688" s="8" t="s">
        <v>454</v>
      </c>
      <c r="N688" s="14">
        <v>0</v>
      </c>
    </row>
    <row r="689" spans="1:15" x14ac:dyDescent="0.25">
      <c r="A689" t="s">
        <v>655</v>
      </c>
      <c r="B689" t="s">
        <v>746</v>
      </c>
      <c r="C689" t="s">
        <v>750</v>
      </c>
      <c r="D689" t="s">
        <v>749</v>
      </c>
      <c r="E689">
        <v>60</v>
      </c>
      <c r="F689" t="s">
        <v>717</v>
      </c>
      <c r="G689" s="20">
        <v>3</v>
      </c>
      <c r="H689">
        <v>4</v>
      </c>
      <c r="I689">
        <v>62.883000000000003</v>
      </c>
      <c r="J689">
        <v>32.264000000000003</v>
      </c>
      <c r="K689">
        <f>(1.984+1.656)/2</f>
        <v>1.8199999999999998</v>
      </c>
      <c r="L689" s="8">
        <v>0</v>
      </c>
      <c r="M689" s="8" t="s">
        <v>451</v>
      </c>
      <c r="N689" s="14" t="s">
        <v>452</v>
      </c>
      <c r="O689" s="1" t="s">
        <v>158</v>
      </c>
    </row>
    <row r="690" spans="1:15" x14ac:dyDescent="0.25">
      <c r="A690" t="s">
        <v>655</v>
      </c>
      <c r="B690" t="s">
        <v>746</v>
      </c>
      <c r="C690" t="s">
        <v>750</v>
      </c>
      <c r="D690" t="s">
        <v>749</v>
      </c>
      <c r="E690">
        <v>61</v>
      </c>
      <c r="F690" t="s">
        <v>718</v>
      </c>
      <c r="G690" s="20">
        <v>3</v>
      </c>
      <c r="H690">
        <v>3</v>
      </c>
      <c r="I690">
        <f>124.318+11.365</f>
        <v>135.68299999999999</v>
      </c>
      <c r="J690">
        <v>35.933</v>
      </c>
      <c r="K690">
        <f>(1.694+1.6)/2</f>
        <v>1.647</v>
      </c>
      <c r="L690" s="8">
        <v>1</v>
      </c>
      <c r="M690" s="8" t="s">
        <v>451</v>
      </c>
      <c r="N690" s="14">
        <v>23.809000000000001</v>
      </c>
    </row>
    <row r="691" spans="1:15" x14ac:dyDescent="0.25">
      <c r="A691" t="s">
        <v>655</v>
      </c>
      <c r="B691" t="s">
        <v>746</v>
      </c>
      <c r="C691" t="s">
        <v>750</v>
      </c>
      <c r="D691" t="s">
        <v>749</v>
      </c>
      <c r="E691">
        <v>62</v>
      </c>
      <c r="F691" t="s">
        <v>719</v>
      </c>
      <c r="G691" s="20">
        <v>3</v>
      </c>
      <c r="H691">
        <v>3</v>
      </c>
      <c r="I691">
        <f>89.35+9.156+12.676+35.571</f>
        <v>146.75299999999999</v>
      </c>
      <c r="J691">
        <v>60.335000000000001</v>
      </c>
      <c r="K691">
        <f>(2.267+2.02)/2</f>
        <v>2.1435</v>
      </c>
      <c r="L691" s="8">
        <v>4</v>
      </c>
      <c r="M691" s="8" t="s">
        <v>451</v>
      </c>
      <c r="N691" s="14">
        <v>5.484</v>
      </c>
    </row>
    <row r="692" spans="1:15" x14ac:dyDescent="0.25">
      <c r="A692" t="s">
        <v>655</v>
      </c>
      <c r="B692" t="s">
        <v>746</v>
      </c>
      <c r="C692" t="s">
        <v>750</v>
      </c>
      <c r="D692" t="s">
        <v>749</v>
      </c>
      <c r="E692">
        <v>63</v>
      </c>
      <c r="F692" t="s">
        <v>720</v>
      </c>
      <c r="G692" s="20">
        <v>3</v>
      </c>
      <c r="H692">
        <v>4</v>
      </c>
      <c r="I692">
        <v>84.094999999999999</v>
      </c>
      <c r="J692">
        <v>22.661000000000001</v>
      </c>
      <c r="K692">
        <f>(1.837+2.739)/2</f>
        <v>2.2879999999999998</v>
      </c>
      <c r="L692" s="8">
        <v>0</v>
      </c>
      <c r="M692" s="8" t="s">
        <v>451</v>
      </c>
      <c r="N692" s="14" t="s">
        <v>452</v>
      </c>
    </row>
    <row r="693" spans="1:15" x14ac:dyDescent="0.25">
      <c r="A693" t="s">
        <v>655</v>
      </c>
      <c r="B693" t="s">
        <v>746</v>
      </c>
      <c r="C693" t="s">
        <v>750</v>
      </c>
      <c r="D693" t="s">
        <v>749</v>
      </c>
      <c r="E693">
        <v>64</v>
      </c>
      <c r="F693" t="s">
        <v>721</v>
      </c>
      <c r="G693" s="20">
        <v>3</v>
      </c>
      <c r="H693">
        <v>3</v>
      </c>
      <c r="I693">
        <f>106.156+53.358+24.837</f>
        <v>184.351</v>
      </c>
      <c r="J693">
        <v>49.203000000000003</v>
      </c>
      <c r="K693">
        <f>(2.657+1.954+1.37)/3</f>
        <v>1.9936666666666667</v>
      </c>
      <c r="L693" s="8">
        <v>3</v>
      </c>
      <c r="M693" s="8" t="s">
        <v>454</v>
      </c>
      <c r="N693" s="14">
        <v>0</v>
      </c>
    </row>
    <row r="694" spans="1:15" x14ac:dyDescent="0.25">
      <c r="A694" t="s">
        <v>655</v>
      </c>
      <c r="B694" t="s">
        <v>746</v>
      </c>
      <c r="C694" t="s">
        <v>750</v>
      </c>
      <c r="D694" t="s">
        <v>749</v>
      </c>
      <c r="E694">
        <v>65</v>
      </c>
      <c r="F694" t="s">
        <v>722</v>
      </c>
      <c r="G694" s="20">
        <v>3</v>
      </c>
      <c r="H694">
        <v>3</v>
      </c>
      <c r="I694">
        <f>71.612+13.453</f>
        <v>85.064999999999998</v>
      </c>
      <c r="J694">
        <v>37.311</v>
      </c>
      <c r="K694">
        <f>(1.946+2.297)/2</f>
        <v>2.1215000000000002</v>
      </c>
      <c r="L694" s="8">
        <v>1</v>
      </c>
      <c r="M694" s="8" t="s">
        <v>451</v>
      </c>
      <c r="N694" s="14">
        <v>50.731999999999999</v>
      </c>
    </row>
    <row r="695" spans="1:15" x14ac:dyDescent="0.25">
      <c r="A695" t="s">
        <v>655</v>
      </c>
      <c r="B695" t="s">
        <v>746</v>
      </c>
      <c r="C695" t="s">
        <v>750</v>
      </c>
      <c r="D695" t="s">
        <v>749</v>
      </c>
      <c r="E695">
        <v>66</v>
      </c>
      <c r="F695" t="s">
        <v>723</v>
      </c>
      <c r="G695" s="20">
        <v>3</v>
      </c>
      <c r="H695">
        <v>3</v>
      </c>
      <c r="I695">
        <f>62.727+25.11+38.222</f>
        <v>126.059</v>
      </c>
      <c r="J695">
        <v>41.484000000000002</v>
      </c>
      <c r="K695">
        <f>(2.228+2.565)/2</f>
        <v>2.3965000000000001</v>
      </c>
      <c r="L695" s="8">
        <v>2</v>
      </c>
      <c r="M695" s="8" t="s">
        <v>454</v>
      </c>
      <c r="N695" s="14">
        <v>0</v>
      </c>
    </row>
    <row r="696" spans="1:15" x14ac:dyDescent="0.25">
      <c r="A696" t="s">
        <v>655</v>
      </c>
      <c r="B696" t="s">
        <v>746</v>
      </c>
      <c r="C696" t="s">
        <v>750</v>
      </c>
      <c r="D696" t="s">
        <v>749</v>
      </c>
      <c r="E696">
        <v>67</v>
      </c>
      <c r="F696" t="s">
        <v>724</v>
      </c>
      <c r="G696" s="20">
        <v>3</v>
      </c>
      <c r="H696">
        <v>3</v>
      </c>
      <c r="I696">
        <v>84.28</v>
      </c>
      <c r="J696">
        <v>45.072000000000003</v>
      </c>
      <c r="K696">
        <f>(1.814+1.984)/2</f>
        <v>1.899</v>
      </c>
      <c r="L696" s="8">
        <v>1</v>
      </c>
      <c r="M696" s="8" t="s">
        <v>451</v>
      </c>
      <c r="N696" s="14">
        <v>35.249000000000002</v>
      </c>
    </row>
    <row r="697" spans="1:15" x14ac:dyDescent="0.25">
      <c r="A697" t="s">
        <v>655</v>
      </c>
      <c r="B697" t="s">
        <v>746</v>
      </c>
      <c r="C697" t="s">
        <v>750</v>
      </c>
      <c r="D697" t="s">
        <v>749</v>
      </c>
      <c r="E697">
        <v>68</v>
      </c>
      <c r="F697" t="s">
        <v>725</v>
      </c>
      <c r="G697" s="20">
        <v>3</v>
      </c>
      <c r="H697">
        <v>3</v>
      </c>
      <c r="I697">
        <f>88.796+49.454</f>
        <v>138.25</v>
      </c>
      <c r="J697">
        <v>46.218000000000004</v>
      </c>
      <c r="K697">
        <f>(3.298+2.884)/2</f>
        <v>3.0910000000000002</v>
      </c>
      <c r="L697" s="8">
        <v>1</v>
      </c>
      <c r="M697" s="8" t="s">
        <v>454</v>
      </c>
      <c r="N697" s="14">
        <v>0</v>
      </c>
    </row>
    <row r="698" spans="1:15" x14ac:dyDescent="0.25">
      <c r="A698" t="s">
        <v>655</v>
      </c>
      <c r="B698" t="s">
        <v>746</v>
      </c>
      <c r="C698" t="s">
        <v>750</v>
      </c>
      <c r="D698" t="s">
        <v>749</v>
      </c>
      <c r="E698">
        <v>69</v>
      </c>
      <c r="F698" t="s">
        <v>726</v>
      </c>
      <c r="G698" s="20">
        <v>3</v>
      </c>
      <c r="H698">
        <v>3</v>
      </c>
      <c r="I698">
        <v>75.11</v>
      </c>
      <c r="J698">
        <v>46.179000000000002</v>
      </c>
      <c r="K698">
        <f>(2.382+2.342)/2</f>
        <v>2.3620000000000001</v>
      </c>
      <c r="L698" s="8">
        <v>0</v>
      </c>
      <c r="M698" s="8" t="s">
        <v>451</v>
      </c>
      <c r="N698" s="14" t="s">
        <v>452</v>
      </c>
    </row>
    <row r="699" spans="1:15" x14ac:dyDescent="0.25">
      <c r="A699" t="s">
        <v>655</v>
      </c>
      <c r="B699" t="s">
        <v>746</v>
      </c>
      <c r="C699" t="s">
        <v>750</v>
      </c>
      <c r="D699" t="s">
        <v>749</v>
      </c>
      <c r="E699">
        <v>70</v>
      </c>
      <c r="F699" t="s">
        <v>727</v>
      </c>
      <c r="G699" s="20">
        <v>3</v>
      </c>
      <c r="H699">
        <v>4</v>
      </c>
      <c r="I699">
        <f>130.331+42.24</f>
        <v>172.571</v>
      </c>
      <c r="J699">
        <v>27.922000000000001</v>
      </c>
      <c r="K699">
        <f>(2.857+1.837)/2</f>
        <v>2.347</v>
      </c>
      <c r="L699" s="8">
        <v>2</v>
      </c>
      <c r="M699" s="8" t="s">
        <v>454</v>
      </c>
      <c r="N699" s="14">
        <v>0</v>
      </c>
    </row>
    <row r="700" spans="1:15" x14ac:dyDescent="0.25">
      <c r="A700" t="s">
        <v>655</v>
      </c>
      <c r="B700" t="s">
        <v>746</v>
      </c>
      <c r="C700" t="s">
        <v>750</v>
      </c>
      <c r="D700" t="s">
        <v>749</v>
      </c>
      <c r="E700">
        <v>74</v>
      </c>
      <c r="F700" t="s">
        <v>731</v>
      </c>
      <c r="G700" s="20">
        <v>3</v>
      </c>
      <c r="H700">
        <v>3</v>
      </c>
      <c r="I700">
        <f>42.573+102.613</f>
        <v>145.18600000000001</v>
      </c>
      <c r="J700">
        <v>37.966999999999999</v>
      </c>
      <c r="K700">
        <f>(4.331+4.721+2.381)/3</f>
        <v>3.8109999999999999</v>
      </c>
      <c r="L700" s="8">
        <v>3</v>
      </c>
      <c r="M700" s="8" t="s">
        <v>454</v>
      </c>
      <c r="N700" s="14">
        <v>0</v>
      </c>
    </row>
    <row r="701" spans="1:15" x14ac:dyDescent="0.25">
      <c r="A701" t="s">
        <v>655</v>
      </c>
      <c r="B701" t="s">
        <v>746</v>
      </c>
      <c r="C701" t="s">
        <v>750</v>
      </c>
      <c r="D701" t="s">
        <v>749</v>
      </c>
      <c r="E701">
        <v>75</v>
      </c>
      <c r="F701" t="s">
        <v>732</v>
      </c>
      <c r="G701" s="20">
        <v>3</v>
      </c>
      <c r="H701">
        <v>3</v>
      </c>
      <c r="I701">
        <f>106.968+23.251</f>
        <v>130.21899999999999</v>
      </c>
      <c r="J701">
        <v>40.165999999999997</v>
      </c>
      <c r="K701">
        <f>(2.233+2.395)/2</f>
        <v>2.3140000000000001</v>
      </c>
      <c r="L701" s="8">
        <v>1</v>
      </c>
      <c r="M701" s="8" t="s">
        <v>454</v>
      </c>
      <c r="N701" s="14">
        <v>0</v>
      </c>
    </row>
    <row r="702" spans="1:15" x14ac:dyDescent="0.25">
      <c r="A702" t="s">
        <v>655</v>
      </c>
      <c r="B702" t="s">
        <v>746</v>
      </c>
      <c r="C702" t="s">
        <v>750</v>
      </c>
      <c r="D702" t="s">
        <v>749</v>
      </c>
      <c r="E702">
        <v>76</v>
      </c>
      <c r="F702" t="s">
        <v>733</v>
      </c>
      <c r="G702" s="20">
        <v>3</v>
      </c>
      <c r="H702">
        <v>3</v>
      </c>
      <c r="I702">
        <f>35.026+51.437+19.544</f>
        <v>106.00699999999999</v>
      </c>
      <c r="J702">
        <v>51.191000000000003</v>
      </c>
      <c r="K702">
        <f>(1.345+1.795+3.151)/3</f>
        <v>2.097</v>
      </c>
      <c r="L702" s="8">
        <v>2</v>
      </c>
      <c r="M702" s="8" t="s">
        <v>454</v>
      </c>
      <c r="N702" s="14">
        <v>0</v>
      </c>
    </row>
    <row r="703" spans="1:15" x14ac:dyDescent="0.25">
      <c r="A703" t="s">
        <v>655</v>
      </c>
      <c r="B703" t="s">
        <v>746</v>
      </c>
      <c r="C703" t="s">
        <v>750</v>
      </c>
      <c r="D703" t="s">
        <v>749</v>
      </c>
      <c r="E703">
        <v>77</v>
      </c>
      <c r="F703" t="s">
        <v>734</v>
      </c>
      <c r="G703" s="20">
        <v>2</v>
      </c>
      <c r="H703">
        <v>2</v>
      </c>
      <c r="I703">
        <f>37.413+14.751</f>
        <v>52.163999999999994</v>
      </c>
      <c r="J703">
        <v>92.352000000000004</v>
      </c>
      <c r="K703">
        <v>7.23</v>
      </c>
      <c r="L703" s="8">
        <v>1</v>
      </c>
      <c r="M703" s="8" t="s">
        <v>454</v>
      </c>
      <c r="N703" s="14">
        <v>0</v>
      </c>
    </row>
    <row r="704" spans="1:15" x14ac:dyDescent="0.25">
      <c r="A704" t="s">
        <v>655</v>
      </c>
      <c r="B704" t="s">
        <v>746</v>
      </c>
      <c r="C704" t="s">
        <v>750</v>
      </c>
      <c r="D704" t="s">
        <v>749</v>
      </c>
      <c r="E704">
        <v>78</v>
      </c>
      <c r="F704" t="s">
        <v>735</v>
      </c>
      <c r="G704" s="20">
        <v>2</v>
      </c>
      <c r="H704">
        <v>2</v>
      </c>
      <c r="I704">
        <v>36.61</v>
      </c>
      <c r="J704">
        <v>77.040000000000006</v>
      </c>
      <c r="K704">
        <v>8.343</v>
      </c>
      <c r="L704" s="8">
        <v>2</v>
      </c>
      <c r="M704" s="8" t="s">
        <v>454</v>
      </c>
      <c r="N704" s="14">
        <v>0</v>
      </c>
    </row>
    <row r="705" spans="1:16" x14ac:dyDescent="0.25">
      <c r="A705" t="s">
        <v>655</v>
      </c>
      <c r="B705" t="s">
        <v>746</v>
      </c>
      <c r="C705" t="s">
        <v>750</v>
      </c>
      <c r="D705" t="s">
        <v>749</v>
      </c>
      <c r="E705">
        <v>79</v>
      </c>
      <c r="F705" t="s">
        <v>736</v>
      </c>
      <c r="G705" s="20">
        <v>2</v>
      </c>
      <c r="H705">
        <v>2</v>
      </c>
      <c r="I705">
        <v>30.14</v>
      </c>
      <c r="J705">
        <v>79.188999999999993</v>
      </c>
      <c r="K705">
        <v>5.9080000000000004</v>
      </c>
      <c r="L705" s="8">
        <v>0</v>
      </c>
      <c r="M705" s="8" t="s">
        <v>451</v>
      </c>
      <c r="N705" s="14" t="s">
        <v>452</v>
      </c>
    </row>
    <row r="706" spans="1:16" x14ac:dyDescent="0.25">
      <c r="A706" t="s">
        <v>655</v>
      </c>
      <c r="B706" t="s">
        <v>746</v>
      </c>
      <c r="C706" t="s">
        <v>750</v>
      </c>
      <c r="D706" t="s">
        <v>749</v>
      </c>
      <c r="E706">
        <v>85</v>
      </c>
      <c r="F706" t="s">
        <v>742</v>
      </c>
      <c r="G706" s="20">
        <v>3</v>
      </c>
      <c r="H706">
        <v>3</v>
      </c>
      <c r="I706">
        <f>26.879+41.69</f>
        <v>68.569000000000003</v>
      </c>
      <c r="J706">
        <v>49.515999999999998</v>
      </c>
      <c r="K706">
        <f>(1.839+4.036+3.523)/3</f>
        <v>3.1326666666666667</v>
      </c>
      <c r="L706" s="8">
        <v>1</v>
      </c>
      <c r="M706" s="8" t="s">
        <v>454</v>
      </c>
      <c r="N706" s="14">
        <v>0</v>
      </c>
    </row>
    <row r="707" spans="1:16" x14ac:dyDescent="0.25">
      <c r="A707" t="s">
        <v>655</v>
      </c>
      <c r="B707" t="s">
        <v>746</v>
      </c>
      <c r="C707" t="s">
        <v>750</v>
      </c>
      <c r="D707" t="s">
        <v>749</v>
      </c>
      <c r="E707">
        <v>86</v>
      </c>
      <c r="F707" t="s">
        <v>743</v>
      </c>
      <c r="G707" s="20">
        <v>3</v>
      </c>
      <c r="H707">
        <v>4</v>
      </c>
      <c r="I707">
        <f>75.684+42.525</f>
        <v>118.209</v>
      </c>
      <c r="J707">
        <v>18.544</v>
      </c>
      <c r="K707">
        <f>(3.258+2.53+2.228)/3</f>
        <v>2.6720000000000002</v>
      </c>
      <c r="L707" s="8">
        <v>1</v>
      </c>
      <c r="M707" s="8" t="s">
        <v>454</v>
      </c>
      <c r="N707" s="14">
        <v>0</v>
      </c>
    </row>
    <row r="708" spans="1:16" x14ac:dyDescent="0.25">
      <c r="A708" t="s">
        <v>655</v>
      </c>
      <c r="B708" t="s">
        <v>746</v>
      </c>
      <c r="C708" t="s">
        <v>750</v>
      </c>
      <c r="D708" t="s">
        <v>749</v>
      </c>
      <c r="E708">
        <v>87</v>
      </c>
      <c r="F708" t="s">
        <v>744</v>
      </c>
      <c r="G708" s="20">
        <v>3</v>
      </c>
      <c r="H708">
        <v>3</v>
      </c>
      <c r="I708">
        <f>124.322+21.177+40.382</f>
        <v>185.881</v>
      </c>
      <c r="J708">
        <v>55.462000000000003</v>
      </c>
      <c r="K708">
        <f>(2.349+2.069)/2</f>
        <v>2.2090000000000001</v>
      </c>
      <c r="L708" s="8">
        <v>2</v>
      </c>
      <c r="M708" s="8" t="s">
        <v>451</v>
      </c>
      <c r="N708" s="14">
        <v>5.85</v>
      </c>
    </row>
    <row r="709" spans="1:16" x14ac:dyDescent="0.25">
      <c r="A709" t="s">
        <v>34</v>
      </c>
      <c r="B709" t="s">
        <v>163</v>
      </c>
      <c r="D709" t="s">
        <v>749</v>
      </c>
      <c r="E709">
        <v>1</v>
      </c>
      <c r="F709" t="s">
        <v>35</v>
      </c>
      <c r="G709" s="20">
        <v>3</v>
      </c>
      <c r="H709">
        <v>3</v>
      </c>
      <c r="I709">
        <f>81.179+15.276+19.697</f>
        <v>116.152</v>
      </c>
      <c r="J709">
        <v>33.430999999999997</v>
      </c>
      <c r="K709">
        <f>(2.897+4.017)/2</f>
        <v>3.4569999999999999</v>
      </c>
      <c r="L709" s="8">
        <v>3</v>
      </c>
      <c r="M709" s="8" t="s">
        <v>451</v>
      </c>
      <c r="N709" s="14">
        <v>10.923</v>
      </c>
    </row>
    <row r="710" spans="1:16" x14ac:dyDescent="0.25">
      <c r="A710" s="16" t="s">
        <v>34</v>
      </c>
      <c r="B710" s="16" t="s">
        <v>163</v>
      </c>
      <c r="C710" s="16"/>
      <c r="D710" s="16" t="s">
        <v>749</v>
      </c>
      <c r="E710" s="16">
        <v>2</v>
      </c>
      <c r="F710" s="16" t="s">
        <v>36</v>
      </c>
      <c r="G710" s="20">
        <v>3</v>
      </c>
      <c r="H710" s="16">
        <v>4</v>
      </c>
      <c r="I710" s="16">
        <f>70.713+61.251</f>
        <v>131.964</v>
      </c>
      <c r="J710" s="16">
        <v>21.864000000000001</v>
      </c>
      <c r="K710" s="16">
        <f>(5.13+2.756+3.948)/3</f>
        <v>3.9446666666666665</v>
      </c>
      <c r="L710" s="17">
        <v>1</v>
      </c>
      <c r="M710" s="17" t="s">
        <v>454</v>
      </c>
      <c r="N710" s="18">
        <v>0</v>
      </c>
      <c r="O710" s="19" t="s">
        <v>169</v>
      </c>
      <c r="P710" s="16"/>
    </row>
    <row r="711" spans="1:16" x14ac:dyDescent="0.25">
      <c r="A711" t="s">
        <v>34</v>
      </c>
      <c r="B711" t="s">
        <v>163</v>
      </c>
      <c r="D711" t="s">
        <v>749</v>
      </c>
      <c r="E711">
        <v>3</v>
      </c>
      <c r="F711" t="s">
        <v>37</v>
      </c>
      <c r="G711" s="20">
        <v>3</v>
      </c>
      <c r="H711">
        <v>4</v>
      </c>
      <c r="I711">
        <f>68.788+9.819</f>
        <v>78.606999999999999</v>
      </c>
      <c r="J711">
        <v>24.558</v>
      </c>
      <c r="K711">
        <f>(2.598+2.018)/2</f>
        <v>2.3079999999999998</v>
      </c>
      <c r="L711" s="8">
        <v>1</v>
      </c>
      <c r="M711" s="8" t="s">
        <v>451</v>
      </c>
      <c r="N711" s="14">
        <v>9.4529999999999994</v>
      </c>
    </row>
    <row r="712" spans="1:16" x14ac:dyDescent="0.25">
      <c r="A712" t="s">
        <v>34</v>
      </c>
      <c r="B712" t="s">
        <v>163</v>
      </c>
      <c r="D712" t="s">
        <v>749</v>
      </c>
      <c r="E712">
        <v>4</v>
      </c>
      <c r="F712" t="s">
        <v>38</v>
      </c>
      <c r="G712" s="20">
        <v>3</v>
      </c>
      <c r="H712">
        <v>3</v>
      </c>
      <c r="I712">
        <v>87.977999999999994</v>
      </c>
      <c r="J712">
        <v>32.082999999999998</v>
      </c>
      <c r="K712">
        <f>(2.739+4.285)/2</f>
        <v>3.512</v>
      </c>
      <c r="L712" s="8">
        <v>0</v>
      </c>
      <c r="M712" s="8" t="s">
        <v>451</v>
      </c>
      <c r="N712" s="14" t="s">
        <v>452</v>
      </c>
      <c r="O712" s="1" t="s">
        <v>174</v>
      </c>
    </row>
    <row r="713" spans="1:16" x14ac:dyDescent="0.25">
      <c r="A713" t="s">
        <v>34</v>
      </c>
      <c r="B713" t="s">
        <v>163</v>
      </c>
      <c r="D713" t="s">
        <v>749</v>
      </c>
      <c r="E713">
        <v>5</v>
      </c>
      <c r="F713" t="s">
        <v>40</v>
      </c>
      <c r="G713" s="20">
        <v>3</v>
      </c>
      <c r="H713">
        <v>3</v>
      </c>
      <c r="I713">
        <f>28.825+66.398</f>
        <v>95.222999999999999</v>
      </c>
      <c r="J713">
        <v>40.662999999999997</v>
      </c>
      <c r="K713">
        <f>(4.466+4.79+3.03)/3</f>
        <v>4.0953333333333335</v>
      </c>
      <c r="L713" s="8">
        <v>1</v>
      </c>
      <c r="M713" s="8" t="s">
        <v>454</v>
      </c>
      <c r="N713" s="14">
        <v>0</v>
      </c>
    </row>
    <row r="714" spans="1:16" x14ac:dyDescent="0.25">
      <c r="A714" t="s">
        <v>34</v>
      </c>
      <c r="B714" t="s">
        <v>163</v>
      </c>
      <c r="D714" t="s">
        <v>749</v>
      </c>
      <c r="E714">
        <v>6</v>
      </c>
      <c r="F714" t="s">
        <v>41</v>
      </c>
      <c r="G714" s="20">
        <v>3</v>
      </c>
      <c r="H714">
        <v>3</v>
      </c>
      <c r="I714">
        <v>78.754000000000005</v>
      </c>
      <c r="J714">
        <v>31.866</v>
      </c>
      <c r="K714">
        <f>(4.697+5.129)/2</f>
        <v>4.9130000000000003</v>
      </c>
      <c r="L714" s="8">
        <v>0</v>
      </c>
      <c r="M714" s="8" t="s">
        <v>451</v>
      </c>
      <c r="N714" s="14" t="s">
        <v>452</v>
      </c>
    </row>
    <row r="715" spans="1:16" x14ac:dyDescent="0.25">
      <c r="A715" t="s">
        <v>34</v>
      </c>
      <c r="B715" t="s">
        <v>163</v>
      </c>
      <c r="D715" t="s">
        <v>749</v>
      </c>
      <c r="E715">
        <v>7</v>
      </c>
      <c r="F715" t="s">
        <v>42</v>
      </c>
      <c r="G715" s="20">
        <v>3</v>
      </c>
      <c r="H715">
        <v>3</v>
      </c>
      <c r="I715">
        <v>35.862000000000002</v>
      </c>
      <c r="J715">
        <v>40.436</v>
      </c>
      <c r="K715">
        <f>(2.971+3.862)/2</f>
        <v>3.4165000000000001</v>
      </c>
      <c r="L715" s="8">
        <v>0</v>
      </c>
      <c r="M715" s="8" t="s">
        <v>451</v>
      </c>
      <c r="N715" s="14" t="s">
        <v>452</v>
      </c>
    </row>
    <row r="716" spans="1:16" x14ac:dyDescent="0.25">
      <c r="A716" t="s">
        <v>34</v>
      </c>
      <c r="B716" t="s">
        <v>163</v>
      </c>
      <c r="D716" t="s">
        <v>749</v>
      </c>
      <c r="E716">
        <v>8</v>
      </c>
      <c r="F716" t="s">
        <v>43</v>
      </c>
      <c r="G716" s="20">
        <v>3</v>
      </c>
      <c r="H716">
        <v>4</v>
      </c>
      <c r="I716">
        <v>41.491999999999997</v>
      </c>
      <c r="J716">
        <v>37.921999999999997</v>
      </c>
      <c r="K716">
        <f>(2.632+2.975)/2</f>
        <v>2.8035000000000001</v>
      </c>
      <c r="L716" s="8">
        <v>0</v>
      </c>
      <c r="M716" s="8" t="s">
        <v>451</v>
      </c>
      <c r="N716" s="14" t="s">
        <v>452</v>
      </c>
    </row>
    <row r="717" spans="1:16" x14ac:dyDescent="0.25">
      <c r="A717" t="s">
        <v>34</v>
      </c>
      <c r="B717" t="s">
        <v>163</v>
      </c>
      <c r="D717" t="s">
        <v>749</v>
      </c>
      <c r="E717">
        <v>9</v>
      </c>
      <c r="F717" t="s">
        <v>44</v>
      </c>
      <c r="G717" s="20">
        <v>3</v>
      </c>
      <c r="H717">
        <v>4</v>
      </c>
      <c r="I717">
        <f>80.968+27.069</f>
        <v>108.03700000000001</v>
      </c>
      <c r="J717">
        <v>20.596</v>
      </c>
      <c r="K717">
        <f>(3.874+3.102+3.465)/3</f>
        <v>3.4803333333333328</v>
      </c>
      <c r="L717" s="8">
        <v>1</v>
      </c>
      <c r="M717" s="8" t="s">
        <v>454</v>
      </c>
      <c r="N717" s="14">
        <v>0</v>
      </c>
    </row>
    <row r="718" spans="1:16" x14ac:dyDescent="0.25">
      <c r="A718" t="s">
        <v>34</v>
      </c>
      <c r="B718" t="s">
        <v>163</v>
      </c>
      <c r="D718" t="s">
        <v>749</v>
      </c>
      <c r="E718">
        <v>10</v>
      </c>
      <c r="F718" t="s">
        <v>45</v>
      </c>
      <c r="G718" s="20">
        <v>3</v>
      </c>
      <c r="H718">
        <v>3</v>
      </c>
      <c r="I718">
        <f>53.141+55.61</f>
        <v>108.751</v>
      </c>
      <c r="J718">
        <v>36.018999999999998</v>
      </c>
      <c r="K718">
        <f>(3.031+2.054+3.29)/3</f>
        <v>2.7916666666666665</v>
      </c>
      <c r="L718" s="8">
        <v>1</v>
      </c>
      <c r="M718" s="8" t="s">
        <v>454</v>
      </c>
      <c r="N718" s="14">
        <v>0</v>
      </c>
    </row>
    <row r="719" spans="1:16" x14ac:dyDescent="0.25">
      <c r="A719" t="s">
        <v>34</v>
      </c>
      <c r="B719" t="s">
        <v>163</v>
      </c>
      <c r="D719" t="s">
        <v>749</v>
      </c>
      <c r="E719">
        <v>11</v>
      </c>
      <c r="F719" t="s">
        <v>46</v>
      </c>
      <c r="G719" s="20">
        <v>3</v>
      </c>
      <c r="H719">
        <v>3</v>
      </c>
      <c r="I719">
        <v>86.765000000000001</v>
      </c>
      <c r="J719">
        <v>49.911999999999999</v>
      </c>
      <c r="K719">
        <f>(4.109+4.512)/2</f>
        <v>4.3104999999999993</v>
      </c>
      <c r="L719" s="8">
        <v>0</v>
      </c>
      <c r="M719" s="8" t="s">
        <v>451</v>
      </c>
      <c r="N719" s="14" t="s">
        <v>452</v>
      </c>
    </row>
    <row r="720" spans="1:16" x14ac:dyDescent="0.25">
      <c r="A720" t="s">
        <v>34</v>
      </c>
      <c r="B720" t="s">
        <v>163</v>
      </c>
      <c r="D720" t="s">
        <v>749</v>
      </c>
      <c r="E720">
        <v>12</v>
      </c>
      <c r="F720" t="s">
        <v>47</v>
      </c>
      <c r="G720" s="20">
        <v>3</v>
      </c>
      <c r="H720">
        <v>4</v>
      </c>
      <c r="I720">
        <v>82.159000000000006</v>
      </c>
      <c r="J720">
        <v>48.54</v>
      </c>
      <c r="K720">
        <v>2.8969999999999998</v>
      </c>
      <c r="L720" s="8">
        <v>0</v>
      </c>
      <c r="M720" s="8" t="s">
        <v>451</v>
      </c>
      <c r="N720" s="14" t="s">
        <v>452</v>
      </c>
    </row>
    <row r="721" spans="1:15" x14ac:dyDescent="0.25">
      <c r="A721" t="s">
        <v>34</v>
      </c>
      <c r="B721" t="s">
        <v>163</v>
      </c>
      <c r="D721" t="s">
        <v>749</v>
      </c>
      <c r="E721">
        <v>13</v>
      </c>
      <c r="F721" t="s">
        <v>48</v>
      </c>
      <c r="G721" s="20">
        <v>3</v>
      </c>
      <c r="H721">
        <v>3</v>
      </c>
      <c r="I721">
        <v>75.989000000000004</v>
      </c>
      <c r="J721">
        <v>36.982999999999997</v>
      </c>
      <c r="K721">
        <f>(3.2+3.281)/2</f>
        <v>3.2404999999999999</v>
      </c>
      <c r="L721" s="8">
        <v>0</v>
      </c>
      <c r="M721" s="8" t="s">
        <v>451</v>
      </c>
      <c r="N721" s="14" t="s">
        <v>452</v>
      </c>
    </row>
    <row r="722" spans="1:15" x14ac:dyDescent="0.25">
      <c r="A722" t="s">
        <v>34</v>
      </c>
      <c r="B722" t="s">
        <v>163</v>
      </c>
      <c r="D722" t="s">
        <v>749</v>
      </c>
      <c r="E722">
        <v>14</v>
      </c>
      <c r="F722" t="s">
        <v>49</v>
      </c>
      <c r="G722" s="20">
        <v>3</v>
      </c>
      <c r="H722">
        <v>4</v>
      </c>
      <c r="I722">
        <v>106.334</v>
      </c>
      <c r="J722">
        <v>24.068000000000001</v>
      </c>
      <c r="K722">
        <f>(2.45+2.657)/2</f>
        <v>2.5535000000000001</v>
      </c>
      <c r="L722" s="8">
        <v>0</v>
      </c>
      <c r="M722" s="8" t="s">
        <v>451</v>
      </c>
      <c r="N722" s="14" t="s">
        <v>452</v>
      </c>
    </row>
    <row r="723" spans="1:15" x14ac:dyDescent="0.25">
      <c r="A723" t="s">
        <v>34</v>
      </c>
      <c r="B723" t="s">
        <v>163</v>
      </c>
      <c r="D723" t="s">
        <v>749</v>
      </c>
      <c r="E723">
        <v>15</v>
      </c>
      <c r="F723" t="s">
        <v>50</v>
      </c>
      <c r="G723" s="20">
        <v>3</v>
      </c>
      <c r="H723">
        <v>3</v>
      </c>
      <c r="I723">
        <f>85.148+26.016</f>
        <v>111.16399999999999</v>
      </c>
      <c r="J723">
        <v>43.485999999999997</v>
      </c>
      <c r="K723">
        <f>(2.451+3.891+1.904)/3</f>
        <v>2.7486666666666668</v>
      </c>
      <c r="L723" s="8">
        <v>1</v>
      </c>
      <c r="M723" s="8" t="s">
        <v>454</v>
      </c>
      <c r="N723" s="14">
        <v>0</v>
      </c>
    </row>
    <row r="724" spans="1:15" x14ac:dyDescent="0.25">
      <c r="A724" t="s">
        <v>34</v>
      </c>
      <c r="B724" t="s">
        <v>163</v>
      </c>
      <c r="D724" t="s">
        <v>749</v>
      </c>
      <c r="E724">
        <v>16</v>
      </c>
      <c r="F724" t="s">
        <v>51</v>
      </c>
      <c r="G724" s="20">
        <v>3</v>
      </c>
      <c r="H724">
        <v>4</v>
      </c>
      <c r="I724">
        <f>85.748+26.506</f>
        <v>112.254</v>
      </c>
      <c r="J724">
        <v>33.656999999999996</v>
      </c>
      <c r="K724">
        <f>(1.732+3.361)/2</f>
        <v>2.5465</v>
      </c>
      <c r="L724" s="8">
        <v>1</v>
      </c>
      <c r="M724" s="8" t="s">
        <v>451</v>
      </c>
      <c r="N724" s="14">
        <v>3.3220000000000001</v>
      </c>
      <c r="O724" s="1" t="s">
        <v>172</v>
      </c>
    </row>
    <row r="725" spans="1:15" x14ac:dyDescent="0.25">
      <c r="A725" t="s">
        <v>34</v>
      </c>
      <c r="B725" t="s">
        <v>163</v>
      </c>
      <c r="D725" t="s">
        <v>749</v>
      </c>
      <c r="E725">
        <v>17</v>
      </c>
      <c r="F725" t="s">
        <v>52</v>
      </c>
      <c r="G725" s="20">
        <v>3</v>
      </c>
      <c r="H725">
        <v>4</v>
      </c>
      <c r="I725">
        <v>85.075000000000003</v>
      </c>
      <c r="J725">
        <v>19.905999999999999</v>
      </c>
      <c r="K725">
        <v>3.8740000000000001</v>
      </c>
      <c r="L725" s="8">
        <v>0</v>
      </c>
      <c r="M725" s="8" t="s">
        <v>451</v>
      </c>
      <c r="N725" s="14" t="s">
        <v>452</v>
      </c>
    </row>
    <row r="726" spans="1:15" x14ac:dyDescent="0.25">
      <c r="A726" t="s">
        <v>34</v>
      </c>
      <c r="B726" t="s">
        <v>163</v>
      </c>
      <c r="D726" t="s">
        <v>749</v>
      </c>
      <c r="E726">
        <v>18</v>
      </c>
      <c r="F726" t="s">
        <v>53</v>
      </c>
      <c r="G726" s="20">
        <v>3</v>
      </c>
      <c r="H726">
        <v>4</v>
      </c>
      <c r="I726">
        <f>54.437+28.244</f>
        <v>82.680999999999997</v>
      </c>
      <c r="J726">
        <v>34.223999999999997</v>
      </c>
      <c r="K726">
        <f>(2.102+2.608)/2</f>
        <v>2.355</v>
      </c>
      <c r="L726" s="8">
        <v>1</v>
      </c>
      <c r="M726" s="8" t="s">
        <v>451</v>
      </c>
      <c r="N726" s="14">
        <v>13.042999999999999</v>
      </c>
    </row>
    <row r="727" spans="1:15" x14ac:dyDescent="0.25">
      <c r="A727" t="s">
        <v>34</v>
      </c>
      <c r="B727" t="s">
        <v>163</v>
      </c>
      <c r="D727" t="s">
        <v>749</v>
      </c>
      <c r="E727">
        <v>19</v>
      </c>
      <c r="F727" t="s">
        <v>54</v>
      </c>
      <c r="G727" s="20">
        <v>3</v>
      </c>
      <c r="H727">
        <v>4</v>
      </c>
      <c r="I727">
        <f>65.612+62.57</f>
        <v>128.18199999999999</v>
      </c>
      <c r="J727">
        <v>37.667999999999999</v>
      </c>
      <c r="K727">
        <f>(2.194+1.837+2.228)/3</f>
        <v>2.0863333333333336</v>
      </c>
      <c r="L727" s="8">
        <v>3</v>
      </c>
      <c r="M727" s="8" t="s">
        <v>454</v>
      </c>
      <c r="N727" s="14">
        <v>0</v>
      </c>
      <c r="O727" s="1" t="s">
        <v>172</v>
      </c>
    </row>
    <row r="728" spans="1:15" x14ac:dyDescent="0.25">
      <c r="A728" t="s">
        <v>34</v>
      </c>
      <c r="B728" t="s">
        <v>163</v>
      </c>
      <c r="D728" t="s">
        <v>749</v>
      </c>
      <c r="E728">
        <v>20</v>
      </c>
      <c r="F728" t="s">
        <v>55</v>
      </c>
      <c r="G728" s="20">
        <v>3</v>
      </c>
      <c r="H728">
        <v>4</v>
      </c>
      <c r="I728">
        <v>87.99</v>
      </c>
      <c r="J728">
        <v>40.603999999999999</v>
      </c>
      <c r="K728">
        <f>(2.711+3.312)/2</f>
        <v>3.0114999999999998</v>
      </c>
      <c r="L728" s="8">
        <v>0</v>
      </c>
      <c r="M728" s="8" t="s">
        <v>451</v>
      </c>
      <c r="N728" s="14" t="s">
        <v>452</v>
      </c>
    </row>
    <row r="729" spans="1:15" x14ac:dyDescent="0.25">
      <c r="A729" t="s">
        <v>34</v>
      </c>
      <c r="B729" t="s">
        <v>163</v>
      </c>
      <c r="D729" t="s">
        <v>749</v>
      </c>
      <c r="E729">
        <v>21</v>
      </c>
      <c r="F729" t="s">
        <v>56</v>
      </c>
      <c r="G729" s="20">
        <v>3</v>
      </c>
      <c r="H729">
        <v>4</v>
      </c>
      <c r="I729">
        <f>58.516+34.461</f>
        <v>92.977000000000004</v>
      </c>
      <c r="J729">
        <v>18.099</v>
      </c>
      <c r="K729">
        <f>(1.409+2.461+2.114)/3</f>
        <v>1.9946666666666666</v>
      </c>
      <c r="L729" s="8">
        <v>1</v>
      </c>
      <c r="M729" s="8" t="s">
        <v>454</v>
      </c>
      <c r="N729" s="14">
        <v>0</v>
      </c>
      <c r="O729" s="1" t="s">
        <v>169</v>
      </c>
    </row>
    <row r="730" spans="1:15" x14ac:dyDescent="0.25">
      <c r="A730" t="s">
        <v>34</v>
      </c>
      <c r="B730" t="s">
        <v>163</v>
      </c>
      <c r="D730" t="s">
        <v>749</v>
      </c>
      <c r="E730">
        <v>22</v>
      </c>
      <c r="F730" t="s">
        <v>57</v>
      </c>
      <c r="G730" s="20">
        <v>3</v>
      </c>
      <c r="H730">
        <v>3</v>
      </c>
      <c r="I730">
        <v>81.073999999999998</v>
      </c>
      <c r="J730">
        <v>39.261000000000003</v>
      </c>
      <c r="K730">
        <f>(3.008+4.8)/2</f>
        <v>3.9039999999999999</v>
      </c>
      <c r="L730" s="8">
        <v>1</v>
      </c>
      <c r="M730" s="8" t="s">
        <v>454</v>
      </c>
      <c r="N730" s="14">
        <v>0</v>
      </c>
      <c r="O730" s="1" t="s">
        <v>174</v>
      </c>
    </row>
    <row r="731" spans="1:15" x14ac:dyDescent="0.25">
      <c r="A731" t="s">
        <v>34</v>
      </c>
      <c r="B731" t="s">
        <v>163</v>
      </c>
      <c r="D731" t="s">
        <v>749</v>
      </c>
      <c r="E731">
        <v>23</v>
      </c>
      <c r="F731" t="s">
        <v>58</v>
      </c>
      <c r="G731" s="20">
        <v>3</v>
      </c>
      <c r="H731">
        <v>4</v>
      </c>
      <c r="I731">
        <v>62.237000000000002</v>
      </c>
      <c r="J731">
        <v>28.084</v>
      </c>
      <c r="K731">
        <v>3.1030000000000002</v>
      </c>
      <c r="L731" s="8">
        <v>0</v>
      </c>
      <c r="M731" s="8" t="s">
        <v>451</v>
      </c>
      <c r="N731" s="14" t="s">
        <v>452</v>
      </c>
    </row>
    <row r="732" spans="1:15" x14ac:dyDescent="0.25">
      <c r="A732" t="s">
        <v>34</v>
      </c>
      <c r="B732" t="s">
        <v>163</v>
      </c>
      <c r="D732" t="s">
        <v>749</v>
      </c>
      <c r="E732">
        <v>24</v>
      </c>
      <c r="F732" t="s">
        <v>59</v>
      </c>
      <c r="G732" s="20">
        <v>3</v>
      </c>
      <c r="H732">
        <v>4</v>
      </c>
      <c r="I732">
        <v>65.384</v>
      </c>
      <c r="J732">
        <v>28.475000000000001</v>
      </c>
      <c r="K732">
        <f>(2.818+2.451)/2</f>
        <v>2.6345000000000001</v>
      </c>
      <c r="L732" s="8">
        <v>0</v>
      </c>
      <c r="M732" s="8" t="s">
        <v>451</v>
      </c>
      <c r="N732" s="14" t="s">
        <v>452</v>
      </c>
    </row>
    <row r="733" spans="1:15" x14ac:dyDescent="0.25">
      <c r="A733" t="s">
        <v>34</v>
      </c>
      <c r="B733" t="s">
        <v>163</v>
      </c>
      <c r="D733" t="s">
        <v>749</v>
      </c>
      <c r="E733">
        <v>25</v>
      </c>
      <c r="F733" t="s">
        <v>60</v>
      </c>
      <c r="G733" s="20">
        <v>3</v>
      </c>
      <c r="H733">
        <v>3</v>
      </c>
      <c r="I733">
        <f>31.416+61.221</f>
        <v>92.637</v>
      </c>
      <c r="J733">
        <v>55.831000000000003</v>
      </c>
      <c r="K733">
        <f>(2.395+3.429+2.632+3.717)/4</f>
        <v>3.04325</v>
      </c>
      <c r="L733" s="8">
        <v>2</v>
      </c>
      <c r="M733" s="8" t="s">
        <v>454</v>
      </c>
      <c r="N733" s="14">
        <v>0</v>
      </c>
    </row>
    <row r="734" spans="1:15" x14ac:dyDescent="0.25">
      <c r="A734" t="s">
        <v>34</v>
      </c>
      <c r="B734" t="s">
        <v>163</v>
      </c>
      <c r="D734" t="s">
        <v>749</v>
      </c>
      <c r="E734">
        <v>26</v>
      </c>
      <c r="F734" t="s">
        <v>61</v>
      </c>
      <c r="G734" s="20">
        <v>3</v>
      </c>
      <c r="H734">
        <v>3</v>
      </c>
      <c r="I734">
        <v>49.45</v>
      </c>
      <c r="J734">
        <v>59.968000000000004</v>
      </c>
      <c r="K734">
        <f>(3.35+4.479)/2</f>
        <v>3.9145000000000003</v>
      </c>
      <c r="L734" s="8">
        <v>0</v>
      </c>
      <c r="M734" s="8" t="s">
        <v>451</v>
      </c>
      <c r="N734" s="14" t="s">
        <v>452</v>
      </c>
    </row>
    <row r="735" spans="1:15" x14ac:dyDescent="0.25">
      <c r="A735" t="s">
        <v>34</v>
      </c>
      <c r="B735" t="s">
        <v>163</v>
      </c>
      <c r="D735" t="s">
        <v>749</v>
      </c>
      <c r="E735">
        <v>27</v>
      </c>
      <c r="F735" t="s">
        <v>62</v>
      </c>
      <c r="G735" s="20">
        <v>3</v>
      </c>
      <c r="H735">
        <v>2</v>
      </c>
      <c r="I735">
        <v>12.95</v>
      </c>
      <c r="J735">
        <v>88.234999999999999</v>
      </c>
      <c r="K735">
        <v>1.7949999999999999</v>
      </c>
      <c r="L735" s="8">
        <v>0</v>
      </c>
      <c r="M735" s="8" t="s">
        <v>451</v>
      </c>
      <c r="N735" s="14" t="s">
        <v>452</v>
      </c>
    </row>
    <row r="736" spans="1:15" x14ac:dyDescent="0.25">
      <c r="A736" t="s">
        <v>34</v>
      </c>
      <c r="B736" t="s">
        <v>163</v>
      </c>
      <c r="D736" t="s">
        <v>749</v>
      </c>
      <c r="E736">
        <v>28</v>
      </c>
      <c r="F736" t="s">
        <v>63</v>
      </c>
      <c r="G736" s="20">
        <v>3</v>
      </c>
      <c r="H736">
        <v>3</v>
      </c>
      <c r="I736">
        <v>19.998000000000001</v>
      </c>
      <c r="J736">
        <v>44.540999999999997</v>
      </c>
      <c r="K736">
        <v>5.8490000000000002</v>
      </c>
      <c r="L736" s="8">
        <v>0</v>
      </c>
      <c r="M736" s="8" t="s">
        <v>451</v>
      </c>
      <c r="N736" s="14" t="s">
        <v>452</v>
      </c>
    </row>
    <row r="737" spans="1:15" x14ac:dyDescent="0.25">
      <c r="A737" t="s">
        <v>34</v>
      </c>
      <c r="B737" t="s">
        <v>163</v>
      </c>
      <c r="D737" t="s">
        <v>749</v>
      </c>
      <c r="E737">
        <v>29</v>
      </c>
      <c r="F737" t="s">
        <v>64</v>
      </c>
      <c r="G737" s="20">
        <v>2</v>
      </c>
      <c r="H737">
        <v>2</v>
      </c>
      <c r="I737">
        <v>42.027000000000001</v>
      </c>
      <c r="J737">
        <v>63.850999999999999</v>
      </c>
      <c r="K737">
        <v>6.2670000000000003</v>
      </c>
      <c r="L737" s="8">
        <v>1</v>
      </c>
      <c r="M737" s="8" t="s">
        <v>454</v>
      </c>
      <c r="N737" s="14">
        <v>0</v>
      </c>
    </row>
    <row r="738" spans="1:15" x14ac:dyDescent="0.25">
      <c r="A738" t="s">
        <v>34</v>
      </c>
      <c r="B738" t="s">
        <v>163</v>
      </c>
      <c r="D738" t="s">
        <v>749</v>
      </c>
      <c r="E738">
        <v>30</v>
      </c>
      <c r="F738" t="s">
        <v>66</v>
      </c>
      <c r="G738" s="20">
        <v>2</v>
      </c>
      <c r="H738">
        <v>2</v>
      </c>
      <c r="I738">
        <v>27.317</v>
      </c>
      <c r="J738">
        <v>57.475000000000001</v>
      </c>
      <c r="K738">
        <v>7.26</v>
      </c>
      <c r="L738" s="8">
        <v>0</v>
      </c>
      <c r="M738" s="8" t="s">
        <v>451</v>
      </c>
      <c r="N738" s="14" t="s">
        <v>452</v>
      </c>
    </row>
    <row r="739" spans="1:15" x14ac:dyDescent="0.25">
      <c r="A739" t="s">
        <v>34</v>
      </c>
      <c r="B739" t="s">
        <v>163</v>
      </c>
      <c r="D739" t="s">
        <v>749</v>
      </c>
      <c r="E739">
        <v>31</v>
      </c>
      <c r="F739" t="s">
        <v>67</v>
      </c>
      <c r="G739" s="20">
        <v>2</v>
      </c>
      <c r="H739">
        <v>2</v>
      </c>
      <c r="I739">
        <v>20.667999999999999</v>
      </c>
      <c r="J739">
        <v>60.841999999999999</v>
      </c>
      <c r="K739">
        <v>7.077</v>
      </c>
      <c r="L739" s="8">
        <v>0</v>
      </c>
      <c r="M739" s="8" t="s">
        <v>451</v>
      </c>
      <c r="N739" s="14" t="s">
        <v>452</v>
      </c>
    </row>
    <row r="740" spans="1:15" x14ac:dyDescent="0.25">
      <c r="A740" t="s">
        <v>34</v>
      </c>
      <c r="B740" t="s">
        <v>163</v>
      </c>
      <c r="D740" t="s">
        <v>749</v>
      </c>
      <c r="E740">
        <v>32</v>
      </c>
      <c r="F740" t="s">
        <v>68</v>
      </c>
      <c r="G740">
        <v>2</v>
      </c>
      <c r="H740">
        <v>2</v>
      </c>
      <c r="I740">
        <v>32.314999999999998</v>
      </c>
      <c r="J740">
        <v>64.747</v>
      </c>
      <c r="K740">
        <v>8.17</v>
      </c>
      <c r="L740" s="8">
        <v>1</v>
      </c>
      <c r="M740" s="8" t="s">
        <v>451</v>
      </c>
      <c r="N740" s="14">
        <v>6.5380000000000003</v>
      </c>
    </row>
    <row r="741" spans="1:15" x14ac:dyDescent="0.25">
      <c r="A741" t="s">
        <v>34</v>
      </c>
      <c r="B741" t="s">
        <v>163</v>
      </c>
      <c r="D741" t="s">
        <v>749</v>
      </c>
      <c r="E741">
        <v>33</v>
      </c>
      <c r="F741" t="s">
        <v>69</v>
      </c>
      <c r="G741">
        <v>2</v>
      </c>
      <c r="H741">
        <v>2</v>
      </c>
      <c r="I741">
        <v>56.271999999999998</v>
      </c>
      <c r="J741">
        <v>50.837000000000003</v>
      </c>
      <c r="K741">
        <v>8.6560000000000006</v>
      </c>
      <c r="L741" s="8">
        <v>0</v>
      </c>
      <c r="M741" s="8" t="s">
        <v>451</v>
      </c>
      <c r="N741" s="14" t="s">
        <v>452</v>
      </c>
    </row>
    <row r="742" spans="1:15" x14ac:dyDescent="0.25">
      <c r="A742" t="s">
        <v>34</v>
      </c>
      <c r="B742" t="s">
        <v>163</v>
      </c>
      <c r="D742" t="s">
        <v>749</v>
      </c>
      <c r="E742">
        <v>34</v>
      </c>
      <c r="F742" t="s">
        <v>70</v>
      </c>
      <c r="G742">
        <v>2</v>
      </c>
      <c r="H742">
        <v>2</v>
      </c>
      <c r="I742">
        <v>44.976999999999997</v>
      </c>
      <c r="J742">
        <v>48.246000000000002</v>
      </c>
      <c r="K742">
        <f>(11.697+9.176)/2</f>
        <v>10.436499999999999</v>
      </c>
      <c r="L742" s="8">
        <v>0</v>
      </c>
      <c r="M742" s="8" t="s">
        <v>451</v>
      </c>
      <c r="N742" s="14" t="s">
        <v>452</v>
      </c>
    </row>
    <row r="743" spans="1:15" x14ac:dyDescent="0.25">
      <c r="A743" t="s">
        <v>34</v>
      </c>
      <c r="B743" t="s">
        <v>163</v>
      </c>
      <c r="D743" t="s">
        <v>749</v>
      </c>
      <c r="E743">
        <v>35</v>
      </c>
      <c r="F743" t="s">
        <v>71</v>
      </c>
      <c r="G743">
        <v>2</v>
      </c>
      <c r="H743">
        <v>2</v>
      </c>
      <c r="I743">
        <f>54.726+12.677</f>
        <v>67.402999999999992</v>
      </c>
      <c r="J743">
        <v>42.826000000000001</v>
      </c>
      <c r="K743">
        <v>9.4559999999999995</v>
      </c>
      <c r="L743" s="8">
        <v>1</v>
      </c>
      <c r="M743" s="8" t="s">
        <v>451</v>
      </c>
      <c r="N743" s="14">
        <v>3.6539999999999999</v>
      </c>
    </row>
    <row r="744" spans="1:15" x14ac:dyDescent="0.25">
      <c r="A744" t="s">
        <v>34</v>
      </c>
      <c r="B744" t="s">
        <v>163</v>
      </c>
      <c r="D744" t="s">
        <v>749</v>
      </c>
      <c r="E744">
        <v>36</v>
      </c>
      <c r="F744" t="s">
        <v>72</v>
      </c>
      <c r="G744">
        <v>2</v>
      </c>
      <c r="H744">
        <v>2</v>
      </c>
      <c r="I744">
        <v>96.048000000000002</v>
      </c>
      <c r="J744">
        <v>45.89</v>
      </c>
      <c r="K744">
        <v>9.0549999999999997</v>
      </c>
      <c r="L744" s="8">
        <v>0</v>
      </c>
      <c r="M744" s="8" t="s">
        <v>451</v>
      </c>
      <c r="N744" s="14" t="s">
        <v>452</v>
      </c>
    </row>
    <row r="745" spans="1:15" x14ac:dyDescent="0.25">
      <c r="A745" t="s">
        <v>34</v>
      </c>
      <c r="B745" t="s">
        <v>163</v>
      </c>
      <c r="D745" t="s">
        <v>749</v>
      </c>
      <c r="E745">
        <v>37</v>
      </c>
      <c r="F745" t="s">
        <v>73</v>
      </c>
      <c r="G745">
        <v>3</v>
      </c>
      <c r="H745">
        <v>4</v>
      </c>
      <c r="I745">
        <v>102.806</v>
      </c>
      <c r="J745">
        <v>30.613</v>
      </c>
      <c r="K745">
        <v>3.4649999999999999</v>
      </c>
      <c r="L745" s="8">
        <v>2</v>
      </c>
      <c r="M745" s="8" t="s">
        <v>451</v>
      </c>
      <c r="N745" s="14">
        <v>24.475999999999999</v>
      </c>
      <c r="O745" s="1" t="s">
        <v>158</v>
      </c>
    </row>
    <row r="746" spans="1:15" x14ac:dyDescent="0.25">
      <c r="A746" t="s">
        <v>34</v>
      </c>
      <c r="B746" t="s">
        <v>163</v>
      </c>
      <c r="D746" t="s">
        <v>749</v>
      </c>
      <c r="E746">
        <v>38</v>
      </c>
      <c r="F746" t="s">
        <v>74</v>
      </c>
      <c r="G746">
        <v>3</v>
      </c>
      <c r="H746">
        <v>3</v>
      </c>
      <c r="I746">
        <v>37.823</v>
      </c>
      <c r="J746">
        <v>45.118000000000002</v>
      </c>
      <c r="K746">
        <f>(2.451+2.128)/2</f>
        <v>2.2895000000000003</v>
      </c>
      <c r="L746" s="8">
        <v>0</v>
      </c>
      <c r="M746" s="8" t="s">
        <v>451</v>
      </c>
      <c r="N746" s="14" t="s">
        <v>452</v>
      </c>
    </row>
    <row r="747" spans="1:15" x14ac:dyDescent="0.25">
      <c r="A747" t="s">
        <v>34</v>
      </c>
      <c r="B747" t="s">
        <v>163</v>
      </c>
      <c r="D747" t="s">
        <v>749</v>
      </c>
      <c r="E747">
        <v>39</v>
      </c>
      <c r="F747" t="s">
        <v>75</v>
      </c>
      <c r="G747">
        <v>3</v>
      </c>
      <c r="H747">
        <v>3</v>
      </c>
      <c r="I747">
        <v>104.218</v>
      </c>
      <c r="J747">
        <v>34.033999999999999</v>
      </c>
      <c r="K747">
        <f>(3.577+3.214)/2</f>
        <v>3.3955000000000002</v>
      </c>
      <c r="L747" s="8">
        <v>0</v>
      </c>
      <c r="M747" s="8" t="s">
        <v>451</v>
      </c>
      <c r="N747" s="14" t="s">
        <v>452</v>
      </c>
    </row>
    <row r="748" spans="1:15" x14ac:dyDescent="0.25">
      <c r="A748" t="s">
        <v>34</v>
      </c>
      <c r="B748" t="s">
        <v>163</v>
      </c>
      <c r="D748" t="s">
        <v>749</v>
      </c>
      <c r="E748">
        <v>40</v>
      </c>
      <c r="F748" t="s">
        <v>76</v>
      </c>
      <c r="G748">
        <v>3</v>
      </c>
      <c r="H748">
        <v>3</v>
      </c>
      <c r="I748">
        <v>52.353000000000002</v>
      </c>
      <c r="J748">
        <v>25.503</v>
      </c>
      <c r="K748">
        <f>(3.338+1.879)/2</f>
        <v>2.6085000000000003</v>
      </c>
      <c r="L748" s="8">
        <v>1</v>
      </c>
      <c r="M748" s="8" t="s">
        <v>451</v>
      </c>
      <c r="N748" s="14">
        <v>1.1100000000000001</v>
      </c>
      <c r="O748" s="1" t="s">
        <v>174</v>
      </c>
    </row>
    <row r="749" spans="1:15" x14ac:dyDescent="0.25">
      <c r="A749" t="s">
        <v>34</v>
      </c>
      <c r="B749" t="s">
        <v>163</v>
      </c>
      <c r="D749" t="s">
        <v>749</v>
      </c>
      <c r="E749">
        <v>41</v>
      </c>
      <c r="F749" t="s">
        <v>77</v>
      </c>
      <c r="G749">
        <v>3</v>
      </c>
      <c r="H749">
        <v>3</v>
      </c>
      <c r="I749">
        <f>92.919+18.271</f>
        <v>111.19</v>
      </c>
      <c r="J749">
        <v>36.578000000000003</v>
      </c>
      <c r="K749">
        <f>(3.565+4.087)/2</f>
        <v>3.8259999999999996</v>
      </c>
      <c r="L749" s="8">
        <v>1</v>
      </c>
      <c r="M749" s="8" t="s">
        <v>454</v>
      </c>
      <c r="N749" s="14">
        <v>0</v>
      </c>
    </row>
    <row r="750" spans="1:15" x14ac:dyDescent="0.25">
      <c r="A750" t="s">
        <v>34</v>
      </c>
      <c r="B750" t="s">
        <v>163</v>
      </c>
      <c r="D750" t="s">
        <v>749</v>
      </c>
      <c r="E750">
        <v>42</v>
      </c>
      <c r="F750" t="s">
        <v>78</v>
      </c>
      <c r="G750">
        <v>3</v>
      </c>
      <c r="H750">
        <v>2</v>
      </c>
      <c r="I750">
        <f>54.773+19.477</f>
        <v>74.25</v>
      </c>
      <c r="J750">
        <v>38.168999999999997</v>
      </c>
      <c r="K750">
        <f>(3.481+3.095)/2</f>
        <v>3.2880000000000003</v>
      </c>
      <c r="L750" s="8">
        <v>1</v>
      </c>
      <c r="M750" s="8" t="s">
        <v>451</v>
      </c>
      <c r="N750" s="14">
        <v>9.2799999999999994</v>
      </c>
      <c r="O750" s="1" t="s">
        <v>172</v>
      </c>
    </row>
    <row r="751" spans="1:15" x14ac:dyDescent="0.25">
      <c r="A751" t="s">
        <v>34</v>
      </c>
      <c r="B751" t="s">
        <v>163</v>
      </c>
      <c r="D751" t="s">
        <v>749</v>
      </c>
      <c r="E751">
        <v>43</v>
      </c>
      <c r="F751" t="s">
        <v>79</v>
      </c>
      <c r="G751">
        <v>3</v>
      </c>
      <c r="H751">
        <v>3</v>
      </c>
      <c r="I751">
        <v>130.905</v>
      </c>
      <c r="J751">
        <v>37.905999999999999</v>
      </c>
      <c r="K751">
        <f>(2.971+2.69)/2</f>
        <v>2.8304999999999998</v>
      </c>
      <c r="L751" s="8">
        <v>1</v>
      </c>
      <c r="M751" s="8" t="s">
        <v>451</v>
      </c>
      <c r="N751" s="14">
        <v>17.024999999999999</v>
      </c>
    </row>
    <row r="752" spans="1:15" x14ac:dyDescent="0.25">
      <c r="A752" t="s">
        <v>34</v>
      </c>
      <c r="B752" t="s">
        <v>163</v>
      </c>
      <c r="D752" t="s">
        <v>749</v>
      </c>
      <c r="E752">
        <v>44</v>
      </c>
      <c r="F752" t="s">
        <v>80</v>
      </c>
      <c r="G752">
        <v>3</v>
      </c>
      <c r="H752">
        <v>2</v>
      </c>
      <c r="I752">
        <f>38.751+16.022+9.641</f>
        <v>64.414000000000001</v>
      </c>
      <c r="J752">
        <v>58.651000000000003</v>
      </c>
      <c r="K752">
        <f>(3.468+2.228+2.064)/3</f>
        <v>2.5866666666666664</v>
      </c>
      <c r="L752" s="8">
        <v>2</v>
      </c>
      <c r="M752" s="8" t="s">
        <v>454</v>
      </c>
      <c r="N752" s="14">
        <v>0</v>
      </c>
    </row>
    <row r="753" spans="1:15" x14ac:dyDescent="0.25">
      <c r="A753" t="s">
        <v>34</v>
      </c>
      <c r="B753" t="s">
        <v>163</v>
      </c>
      <c r="D753" t="s">
        <v>749</v>
      </c>
      <c r="E753">
        <v>45</v>
      </c>
      <c r="F753" t="s">
        <v>81</v>
      </c>
      <c r="G753">
        <v>3</v>
      </c>
      <c r="H753">
        <v>4</v>
      </c>
      <c r="I753">
        <f>49.657+51.109+14.292</f>
        <v>115.05799999999999</v>
      </c>
      <c r="J753">
        <v>30.274999999999999</v>
      </c>
      <c r="K753">
        <f>(2.436+2.628)/2</f>
        <v>2.532</v>
      </c>
      <c r="L753" s="8">
        <v>2</v>
      </c>
      <c r="M753" s="8" t="s">
        <v>454</v>
      </c>
      <c r="N753" s="14">
        <v>0</v>
      </c>
    </row>
    <row r="754" spans="1:15" x14ac:dyDescent="0.25">
      <c r="A754" t="s">
        <v>34</v>
      </c>
      <c r="B754" t="s">
        <v>163</v>
      </c>
      <c r="D754" t="s">
        <v>749</v>
      </c>
      <c r="E754">
        <v>46</v>
      </c>
      <c r="F754" t="s">
        <v>82</v>
      </c>
      <c r="G754">
        <v>3</v>
      </c>
      <c r="H754">
        <v>3</v>
      </c>
      <c r="I754">
        <v>90.263999999999996</v>
      </c>
      <c r="J754">
        <v>40.942</v>
      </c>
      <c r="K754">
        <f>(2.395+2.803)/2</f>
        <v>2.5990000000000002</v>
      </c>
      <c r="L754" s="8">
        <v>0</v>
      </c>
      <c r="M754" s="8" t="s">
        <v>451</v>
      </c>
      <c r="N754" s="14" t="s">
        <v>452</v>
      </c>
    </row>
    <row r="755" spans="1:15" x14ac:dyDescent="0.25">
      <c r="A755" t="s">
        <v>34</v>
      </c>
      <c r="B755" t="s">
        <v>163</v>
      </c>
      <c r="D755" t="s">
        <v>749</v>
      </c>
      <c r="E755">
        <v>47</v>
      </c>
      <c r="F755" t="s">
        <v>83</v>
      </c>
      <c r="G755">
        <v>3</v>
      </c>
      <c r="H755">
        <v>4</v>
      </c>
      <c r="I755">
        <f>37.661+11.336</f>
        <v>48.997</v>
      </c>
      <c r="J755">
        <v>26.800999999999998</v>
      </c>
      <c r="K755">
        <f>(2.111+3.268)/2</f>
        <v>2.6894999999999998</v>
      </c>
      <c r="L755" s="8">
        <v>1</v>
      </c>
      <c r="M755" s="8" t="s">
        <v>454</v>
      </c>
      <c r="N755" s="14">
        <v>0</v>
      </c>
    </row>
    <row r="756" spans="1:15" x14ac:dyDescent="0.25">
      <c r="A756" t="s">
        <v>34</v>
      </c>
      <c r="B756" t="s">
        <v>163</v>
      </c>
      <c r="D756" t="s">
        <v>749</v>
      </c>
      <c r="E756">
        <v>48</v>
      </c>
      <c r="F756" t="s">
        <v>84</v>
      </c>
      <c r="G756">
        <v>3</v>
      </c>
      <c r="H756">
        <v>3</v>
      </c>
      <c r="I756">
        <v>54.959000000000003</v>
      </c>
      <c r="J756">
        <v>38.646000000000001</v>
      </c>
      <c r="K756">
        <f>(2.472+2.53)/2</f>
        <v>2.5009999999999999</v>
      </c>
      <c r="L756" s="8">
        <v>0</v>
      </c>
      <c r="M756" s="8" t="s">
        <v>451</v>
      </c>
      <c r="N756" s="14" t="s">
        <v>452</v>
      </c>
    </row>
    <row r="757" spans="1:15" x14ac:dyDescent="0.25">
      <c r="A757" t="s">
        <v>34</v>
      </c>
      <c r="B757" t="s">
        <v>163</v>
      </c>
      <c r="D757" t="s">
        <v>749</v>
      </c>
      <c r="E757">
        <v>49</v>
      </c>
      <c r="F757" t="s">
        <v>85</v>
      </c>
      <c r="G757">
        <v>3</v>
      </c>
      <c r="H757">
        <v>4</v>
      </c>
      <c r="I757">
        <f>46.579+27.427</f>
        <v>74.006</v>
      </c>
      <c r="J757">
        <v>22.733000000000001</v>
      </c>
      <c r="K757">
        <f>(2.459+1.579+1.493)/3</f>
        <v>1.8436666666666668</v>
      </c>
      <c r="L757" s="8">
        <v>1</v>
      </c>
      <c r="M757" s="8" t="s">
        <v>454</v>
      </c>
      <c r="N757" s="14">
        <v>0</v>
      </c>
    </row>
    <row r="758" spans="1:15" x14ac:dyDescent="0.25">
      <c r="A758" t="s">
        <v>34</v>
      </c>
      <c r="B758" t="s">
        <v>163</v>
      </c>
      <c r="D758" t="s">
        <v>749</v>
      </c>
      <c r="E758">
        <v>50</v>
      </c>
      <c r="F758" t="s">
        <v>86</v>
      </c>
      <c r="G758">
        <v>3</v>
      </c>
      <c r="H758">
        <v>4</v>
      </c>
      <c r="I758">
        <f>54.638+55.145</f>
        <v>109.783</v>
      </c>
      <c r="J758">
        <v>26.751999999999999</v>
      </c>
      <c r="K758">
        <f>(1.796+2.194)/2</f>
        <v>1.9950000000000001</v>
      </c>
      <c r="L758" s="8">
        <v>1</v>
      </c>
      <c r="M758" s="8" t="s">
        <v>451</v>
      </c>
      <c r="N758" s="14">
        <v>10.394</v>
      </c>
      <c r="O758" s="1" t="s">
        <v>172</v>
      </c>
    </row>
    <row r="759" spans="1:15" x14ac:dyDescent="0.25">
      <c r="A759" t="s">
        <v>34</v>
      </c>
      <c r="B759" t="s">
        <v>163</v>
      </c>
      <c r="D759" t="s">
        <v>749</v>
      </c>
      <c r="E759">
        <v>51</v>
      </c>
      <c r="F759" t="s">
        <v>87</v>
      </c>
      <c r="G759">
        <v>3</v>
      </c>
      <c r="H759">
        <v>4</v>
      </c>
      <c r="I759">
        <f>69.692+22.935</f>
        <v>92.626999999999995</v>
      </c>
      <c r="J759">
        <v>30.045999999999999</v>
      </c>
      <c r="K759">
        <f>(3.35+2.4)/2</f>
        <v>2.875</v>
      </c>
      <c r="L759" s="8">
        <v>2</v>
      </c>
      <c r="M759" s="8" t="s">
        <v>454</v>
      </c>
      <c r="N759" s="14">
        <v>0</v>
      </c>
    </row>
    <row r="760" spans="1:15" x14ac:dyDescent="0.25">
      <c r="A760" t="s">
        <v>34</v>
      </c>
      <c r="B760" t="s">
        <v>163</v>
      </c>
      <c r="D760" t="s">
        <v>749</v>
      </c>
      <c r="E760">
        <v>52</v>
      </c>
      <c r="F760" t="s">
        <v>88</v>
      </c>
      <c r="G760">
        <v>3</v>
      </c>
      <c r="H760">
        <v>3</v>
      </c>
      <c r="I760">
        <f>79.056+28.47</f>
        <v>107.526</v>
      </c>
      <c r="J760">
        <v>41.366</v>
      </c>
      <c r="K760">
        <f>(2.142+3.03+2.926)/3</f>
        <v>2.6993333333333331</v>
      </c>
      <c r="L760" s="8">
        <v>1</v>
      </c>
      <c r="M760" s="8" t="s">
        <v>454</v>
      </c>
      <c r="N760" s="14">
        <v>0</v>
      </c>
      <c r="O760" s="1" t="s">
        <v>174</v>
      </c>
    </row>
    <row r="761" spans="1:15" x14ac:dyDescent="0.25">
      <c r="A761" t="s">
        <v>34</v>
      </c>
      <c r="B761" t="s">
        <v>163</v>
      </c>
      <c r="D761" t="s">
        <v>749</v>
      </c>
      <c r="E761">
        <v>53</v>
      </c>
      <c r="F761" t="s">
        <v>89</v>
      </c>
      <c r="G761">
        <v>3</v>
      </c>
      <c r="H761">
        <v>3</v>
      </c>
      <c r="I761">
        <v>100.036</v>
      </c>
      <c r="J761">
        <v>41.188000000000002</v>
      </c>
      <c r="K761">
        <v>4.0960000000000001</v>
      </c>
      <c r="L761" s="8">
        <v>0</v>
      </c>
      <c r="M761" s="8" t="s">
        <v>451</v>
      </c>
      <c r="N761" s="14" t="s">
        <v>452</v>
      </c>
      <c r="O761" s="1" t="s">
        <v>174</v>
      </c>
    </row>
    <row r="762" spans="1:15" x14ac:dyDescent="0.25">
      <c r="A762" t="s">
        <v>34</v>
      </c>
      <c r="B762" t="s">
        <v>163</v>
      </c>
      <c r="D762" t="s">
        <v>749</v>
      </c>
      <c r="E762">
        <v>54</v>
      </c>
      <c r="F762" t="s">
        <v>90</v>
      </c>
      <c r="G762">
        <v>3</v>
      </c>
      <c r="H762">
        <v>4</v>
      </c>
      <c r="I762">
        <v>151.99</v>
      </c>
      <c r="J762">
        <v>31.56</v>
      </c>
      <c r="K762">
        <f>(3.322+3.387)/2</f>
        <v>3.3544999999999998</v>
      </c>
      <c r="L762" s="8">
        <v>1</v>
      </c>
      <c r="M762" s="8" t="s">
        <v>454</v>
      </c>
      <c r="N762" s="14">
        <v>0</v>
      </c>
    </row>
    <row r="763" spans="1:15" x14ac:dyDescent="0.25">
      <c r="A763" t="s">
        <v>34</v>
      </c>
      <c r="B763" t="s">
        <v>163</v>
      </c>
      <c r="D763" t="s">
        <v>749</v>
      </c>
      <c r="E763">
        <v>55</v>
      </c>
      <c r="F763" t="s">
        <v>91</v>
      </c>
      <c r="G763">
        <v>3</v>
      </c>
      <c r="H763">
        <v>4</v>
      </c>
      <c r="I763">
        <v>42.728000000000002</v>
      </c>
      <c r="J763">
        <v>28.49</v>
      </c>
      <c r="K763">
        <f>(2.683+3.19)/2</f>
        <v>2.9364999999999997</v>
      </c>
      <c r="L763" s="8">
        <v>0</v>
      </c>
      <c r="M763" s="8" t="s">
        <v>451</v>
      </c>
      <c r="N763" s="14" t="s">
        <v>452</v>
      </c>
    </row>
  </sheetData>
  <autoFilter ref="A1:P763" xr:uid="{60922A96-C545-40D9-864E-78F5B1C826FD}">
    <sortState ref="A2:P763">
      <sortCondition ref="A1:A763"/>
    </sortState>
  </autoFilter>
  <sortState ref="A709:U770">
    <sortCondition ref="E709:E770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7EEFE-DE50-4735-8A52-B3FB81B37555}">
  <dimension ref="A1:S21"/>
  <sheetViews>
    <sheetView workbookViewId="0">
      <selection activeCell="A5" sqref="A5:XFD5"/>
    </sheetView>
  </sheetViews>
  <sheetFormatPr defaultRowHeight="15" x14ac:dyDescent="0.25"/>
  <sheetData>
    <row r="1" spans="1:19" x14ac:dyDescent="0.25">
      <c r="A1" s="2" t="s">
        <v>161</v>
      </c>
      <c r="B1" s="2" t="s">
        <v>162</v>
      </c>
      <c r="C1" s="2" t="s">
        <v>747</v>
      </c>
      <c r="D1" s="2" t="s">
        <v>160</v>
      </c>
      <c r="E1" s="2" t="s">
        <v>0</v>
      </c>
      <c r="F1" s="2" t="s">
        <v>164</v>
      </c>
      <c r="G1" s="2" t="s">
        <v>879</v>
      </c>
      <c r="H1" s="2" t="s">
        <v>165</v>
      </c>
      <c r="I1" s="2" t="s">
        <v>166</v>
      </c>
      <c r="J1" s="2" t="s">
        <v>168</v>
      </c>
      <c r="K1" s="2" t="s">
        <v>167</v>
      </c>
      <c r="L1" s="7" t="s">
        <v>449</v>
      </c>
      <c r="M1" s="7" t="s">
        <v>450</v>
      </c>
      <c r="N1" s="13" t="s">
        <v>448</v>
      </c>
      <c r="O1" s="2" t="s">
        <v>5</v>
      </c>
      <c r="Q1" s="4"/>
      <c r="S1" s="4"/>
    </row>
    <row r="2" spans="1:19" s="6" customFormat="1" x14ac:dyDescent="0.25">
      <c r="A2" s="6" t="s">
        <v>778</v>
      </c>
      <c r="B2" s="6" t="s">
        <v>799</v>
      </c>
      <c r="C2" s="6">
        <v>2</v>
      </c>
      <c r="D2" s="6" t="s">
        <v>749</v>
      </c>
      <c r="E2" s="6">
        <v>10</v>
      </c>
      <c r="F2" s="6" t="s">
        <v>788</v>
      </c>
      <c r="G2" s="6">
        <v>4</v>
      </c>
      <c r="H2" s="6">
        <v>3</v>
      </c>
      <c r="I2" s="6">
        <f>43.651+14.653</f>
        <v>58.304000000000002</v>
      </c>
      <c r="J2" s="6">
        <v>40.265000000000001</v>
      </c>
      <c r="K2" s="6">
        <v>7.5419999999999998</v>
      </c>
      <c r="L2" s="22">
        <v>1</v>
      </c>
      <c r="M2" s="22" t="s">
        <v>454</v>
      </c>
      <c r="N2" s="14">
        <v>0</v>
      </c>
      <c r="O2" s="6" t="s">
        <v>771</v>
      </c>
      <c r="Q2" s="24"/>
      <c r="S2" s="24"/>
    </row>
    <row r="4" spans="1:19" x14ac:dyDescent="0.25">
      <c r="A4" t="s">
        <v>541</v>
      </c>
      <c r="B4" t="s">
        <v>746</v>
      </c>
      <c r="C4" t="s">
        <v>748</v>
      </c>
      <c r="D4" t="s">
        <v>751</v>
      </c>
      <c r="E4">
        <v>16</v>
      </c>
      <c r="F4" t="s">
        <v>558</v>
      </c>
      <c r="G4" s="20">
        <v>4</v>
      </c>
      <c r="H4">
        <v>3</v>
      </c>
      <c r="I4">
        <f>37.46+47.667+11.911+5.929</f>
        <v>102.96700000000001</v>
      </c>
      <c r="J4">
        <v>48.515999999999998</v>
      </c>
      <c r="K4">
        <f>(10.569+6.473+1.694+3.658)/4</f>
        <v>5.5985000000000005</v>
      </c>
      <c r="L4" s="8">
        <v>3</v>
      </c>
      <c r="M4" s="8" t="s">
        <v>454</v>
      </c>
      <c r="N4" s="14">
        <v>0</v>
      </c>
      <c r="O4" s="1"/>
      <c r="Q4" s="4"/>
    </row>
    <row r="5" spans="1:19" x14ac:dyDescent="0.25">
      <c r="A5" t="s">
        <v>541</v>
      </c>
      <c r="B5" t="s">
        <v>746</v>
      </c>
      <c r="C5" t="s">
        <v>748</v>
      </c>
      <c r="D5" t="s">
        <v>751</v>
      </c>
      <c r="E5">
        <v>18</v>
      </c>
      <c r="F5" t="s">
        <v>560</v>
      </c>
      <c r="G5" s="20">
        <v>5</v>
      </c>
      <c r="H5">
        <v>3</v>
      </c>
      <c r="I5">
        <f>47.387+14.407</f>
        <v>61.793999999999997</v>
      </c>
      <c r="J5">
        <v>41.018999999999998</v>
      </c>
      <c r="K5">
        <f>(5.885+2.606)/2</f>
        <v>4.2454999999999998</v>
      </c>
      <c r="L5" s="8">
        <v>2</v>
      </c>
      <c r="M5" s="8" t="s">
        <v>454</v>
      </c>
      <c r="N5" s="14">
        <v>0</v>
      </c>
      <c r="O5" s="1"/>
      <c r="Q5" s="4"/>
    </row>
    <row r="6" spans="1:19" x14ac:dyDescent="0.25">
      <c r="A6" t="s">
        <v>541</v>
      </c>
      <c r="B6" t="s">
        <v>746</v>
      </c>
      <c r="C6" t="s">
        <v>748</v>
      </c>
      <c r="D6" t="s">
        <v>751</v>
      </c>
      <c r="E6">
        <v>20</v>
      </c>
      <c r="F6" t="s">
        <v>562</v>
      </c>
      <c r="G6" s="20">
        <v>4</v>
      </c>
      <c r="H6">
        <v>3</v>
      </c>
      <c r="I6">
        <f>35.805+14.38</f>
        <v>50.185000000000002</v>
      </c>
      <c r="J6">
        <v>46.802</v>
      </c>
      <c r="K6">
        <f>(11.752+13.158)/2</f>
        <v>12.455</v>
      </c>
      <c r="L6" s="8">
        <v>2</v>
      </c>
      <c r="M6" s="8" t="s">
        <v>454</v>
      </c>
      <c r="N6" s="14">
        <v>0</v>
      </c>
      <c r="O6" s="1"/>
      <c r="Q6" s="4"/>
    </row>
    <row r="7" spans="1:19" x14ac:dyDescent="0.25">
      <c r="A7" t="s">
        <v>541</v>
      </c>
      <c r="B7" t="s">
        <v>746</v>
      </c>
      <c r="C7" t="s">
        <v>748</v>
      </c>
      <c r="D7" t="s">
        <v>751</v>
      </c>
      <c r="E7">
        <v>21</v>
      </c>
      <c r="F7" t="s">
        <v>563</v>
      </c>
      <c r="G7" s="20">
        <v>4</v>
      </c>
      <c r="H7">
        <v>3</v>
      </c>
      <c r="I7">
        <f>50.296+5.248</f>
        <v>55.543999999999997</v>
      </c>
      <c r="J7">
        <v>58.262999999999998</v>
      </c>
      <c r="K7">
        <f>(12.074+12.439)/2</f>
        <v>12.256499999999999</v>
      </c>
      <c r="L7" s="8">
        <v>1</v>
      </c>
      <c r="M7" s="8" t="s">
        <v>451</v>
      </c>
      <c r="N7" s="14">
        <v>9.3170000000000002</v>
      </c>
      <c r="O7" s="1"/>
      <c r="Q7" s="4"/>
    </row>
    <row r="8" spans="1:19" x14ac:dyDescent="0.25">
      <c r="A8" t="s">
        <v>541</v>
      </c>
      <c r="B8" t="s">
        <v>746</v>
      </c>
      <c r="C8" t="s">
        <v>748</v>
      </c>
      <c r="D8" t="s">
        <v>751</v>
      </c>
      <c r="E8">
        <v>44</v>
      </c>
      <c r="F8" t="s">
        <v>589</v>
      </c>
      <c r="G8" s="20">
        <v>4</v>
      </c>
      <c r="H8">
        <v>3</v>
      </c>
      <c r="I8">
        <v>36.036000000000001</v>
      </c>
      <c r="J8">
        <v>59.673000000000002</v>
      </c>
      <c r="K8">
        <f>(7.423+5.894)/2</f>
        <v>6.6585000000000001</v>
      </c>
      <c r="L8" s="8">
        <v>0</v>
      </c>
      <c r="M8" s="8" t="s">
        <v>451</v>
      </c>
      <c r="N8" s="14" t="s">
        <v>452</v>
      </c>
      <c r="O8" s="1"/>
      <c r="Q8" s="4"/>
    </row>
    <row r="9" spans="1:19" x14ac:dyDescent="0.25">
      <c r="A9" t="s">
        <v>541</v>
      </c>
      <c r="B9" t="s">
        <v>746</v>
      </c>
      <c r="C9" t="s">
        <v>748</v>
      </c>
      <c r="D9" t="s">
        <v>751</v>
      </c>
      <c r="E9">
        <v>45</v>
      </c>
      <c r="F9" t="s">
        <v>590</v>
      </c>
      <c r="G9" s="20">
        <v>4</v>
      </c>
      <c r="H9">
        <v>3</v>
      </c>
      <c r="I9">
        <f>47.61+38.673</f>
        <v>86.283000000000001</v>
      </c>
      <c r="J9">
        <v>64.018000000000001</v>
      </c>
      <c r="K9">
        <f>(9.577+10.93)/2</f>
        <v>10.253499999999999</v>
      </c>
      <c r="L9" s="8">
        <v>2</v>
      </c>
      <c r="M9" s="8" t="s">
        <v>454</v>
      </c>
      <c r="N9" s="14">
        <v>0</v>
      </c>
      <c r="O9" s="1"/>
      <c r="Q9" s="4"/>
    </row>
    <row r="10" spans="1:19" x14ac:dyDescent="0.25">
      <c r="A10" t="s">
        <v>541</v>
      </c>
      <c r="B10" t="s">
        <v>746</v>
      </c>
      <c r="C10" t="s">
        <v>748</v>
      </c>
      <c r="D10" t="s">
        <v>751</v>
      </c>
      <c r="E10">
        <v>46</v>
      </c>
      <c r="F10" t="s">
        <v>591</v>
      </c>
      <c r="G10" s="20">
        <v>4</v>
      </c>
      <c r="H10">
        <v>3</v>
      </c>
      <c r="I10">
        <v>57.218000000000004</v>
      </c>
      <c r="J10">
        <v>54.347000000000001</v>
      </c>
      <c r="K10">
        <f>(8.848+10.672)/2</f>
        <v>9.7600000000000016</v>
      </c>
      <c r="L10" s="8">
        <v>0</v>
      </c>
      <c r="M10" s="8" t="s">
        <v>451</v>
      </c>
      <c r="N10" s="14" t="s">
        <v>452</v>
      </c>
      <c r="O10" s="1"/>
      <c r="Q10" s="4"/>
    </row>
    <row r="11" spans="1:19" x14ac:dyDescent="0.25">
      <c r="A11" t="s">
        <v>541</v>
      </c>
      <c r="B11" t="s">
        <v>746</v>
      </c>
      <c r="C11" t="s">
        <v>748</v>
      </c>
      <c r="D11" t="s">
        <v>751</v>
      </c>
      <c r="E11">
        <v>53</v>
      </c>
      <c r="F11" t="s">
        <v>598</v>
      </c>
      <c r="G11" s="20">
        <v>4</v>
      </c>
      <c r="H11">
        <v>3</v>
      </c>
      <c r="I11">
        <f>74.154+23.823</f>
        <v>97.977000000000004</v>
      </c>
      <c r="J11">
        <v>54.901000000000003</v>
      </c>
      <c r="K11">
        <f>(12.585+11.171)/2</f>
        <v>11.878</v>
      </c>
      <c r="L11" s="8">
        <v>1</v>
      </c>
      <c r="M11" s="8" t="s">
        <v>454</v>
      </c>
      <c r="N11" s="14">
        <v>0</v>
      </c>
      <c r="O11" s="1"/>
      <c r="Q11" s="4"/>
    </row>
    <row r="13" spans="1:19" x14ac:dyDescent="0.25">
      <c r="A13" t="s">
        <v>612</v>
      </c>
      <c r="B13" t="s">
        <v>746</v>
      </c>
      <c r="C13" t="s">
        <v>750</v>
      </c>
      <c r="D13" t="s">
        <v>751</v>
      </c>
      <c r="E13">
        <v>32</v>
      </c>
      <c r="F13" t="s">
        <v>644</v>
      </c>
      <c r="G13" s="20">
        <v>4</v>
      </c>
      <c r="H13">
        <v>3</v>
      </c>
      <c r="I13">
        <f>56.716+82.701</f>
        <v>139.417</v>
      </c>
      <c r="J13">
        <v>48.677999999999997</v>
      </c>
      <c r="K13">
        <f>(3.638+5.423+10.506)/3</f>
        <v>6.5223333333333331</v>
      </c>
      <c r="L13" s="8">
        <v>2</v>
      </c>
      <c r="M13" s="8" t="s">
        <v>454</v>
      </c>
      <c r="N13" s="14">
        <v>0</v>
      </c>
      <c r="O13" s="1"/>
      <c r="Q13" s="4"/>
    </row>
    <row r="15" spans="1:19" x14ac:dyDescent="0.25">
      <c r="A15" t="s">
        <v>655</v>
      </c>
      <c r="B15" t="s">
        <v>746</v>
      </c>
      <c r="C15" t="s">
        <v>750</v>
      </c>
      <c r="D15" t="s">
        <v>749</v>
      </c>
      <c r="E15">
        <v>71</v>
      </c>
      <c r="F15" t="s">
        <v>728</v>
      </c>
      <c r="G15" s="20">
        <v>4</v>
      </c>
      <c r="H15">
        <v>2</v>
      </c>
      <c r="I15">
        <v>34.287999999999997</v>
      </c>
      <c r="J15">
        <v>65.468000000000004</v>
      </c>
      <c r="K15">
        <v>8.3629999999999995</v>
      </c>
      <c r="L15" s="8">
        <v>0</v>
      </c>
      <c r="M15" s="8" t="s">
        <v>451</v>
      </c>
      <c r="N15" s="14" t="s">
        <v>452</v>
      </c>
      <c r="O15" s="1"/>
      <c r="Q15" s="4"/>
    </row>
    <row r="16" spans="1:19" x14ac:dyDescent="0.25">
      <c r="A16" t="s">
        <v>655</v>
      </c>
      <c r="B16" t="s">
        <v>746</v>
      </c>
      <c r="C16" t="s">
        <v>750</v>
      </c>
      <c r="D16" t="s">
        <v>749</v>
      </c>
      <c r="E16">
        <v>72</v>
      </c>
      <c r="F16" t="s">
        <v>729</v>
      </c>
      <c r="G16" s="20">
        <v>5</v>
      </c>
      <c r="H16">
        <v>2</v>
      </c>
      <c r="I16">
        <f>51.673+18.458</f>
        <v>70.131</v>
      </c>
      <c r="J16">
        <v>52.875999999999998</v>
      </c>
      <c r="K16">
        <f>(4.51+6.047+3.669)/3</f>
        <v>4.742</v>
      </c>
      <c r="L16" s="8">
        <v>3</v>
      </c>
      <c r="M16" s="8" t="s">
        <v>454</v>
      </c>
      <c r="N16" s="14">
        <v>0</v>
      </c>
      <c r="O16" s="1" t="s">
        <v>158</v>
      </c>
      <c r="Q16" s="4"/>
    </row>
    <row r="17" spans="1:17" x14ac:dyDescent="0.25">
      <c r="A17" t="s">
        <v>655</v>
      </c>
      <c r="B17" t="s">
        <v>746</v>
      </c>
      <c r="C17" t="s">
        <v>750</v>
      </c>
      <c r="D17" t="s">
        <v>749</v>
      </c>
      <c r="E17">
        <v>73</v>
      </c>
      <c r="F17" t="s">
        <v>730</v>
      </c>
      <c r="G17" s="20">
        <v>5</v>
      </c>
      <c r="H17">
        <v>3</v>
      </c>
      <c r="I17">
        <v>60.387999999999998</v>
      </c>
      <c r="J17">
        <v>48.255000000000003</v>
      </c>
      <c r="K17">
        <f>(2.513+2.601+2.731)/3</f>
        <v>2.6149999999999998</v>
      </c>
      <c r="L17" s="8">
        <v>1</v>
      </c>
      <c r="M17" s="8" t="s">
        <v>454</v>
      </c>
      <c r="N17" s="14">
        <v>0</v>
      </c>
      <c r="O17" s="1"/>
      <c r="Q17" s="4"/>
    </row>
    <row r="20" spans="1:17" x14ac:dyDescent="0.25">
      <c r="A20" t="s">
        <v>473</v>
      </c>
      <c r="B20" t="s">
        <v>745</v>
      </c>
      <c r="C20" t="s">
        <v>750</v>
      </c>
      <c r="D20" t="s">
        <v>751</v>
      </c>
      <c r="E20">
        <v>25</v>
      </c>
      <c r="F20" t="s">
        <v>499</v>
      </c>
      <c r="G20" s="20">
        <v>4</v>
      </c>
      <c r="H20">
        <v>3</v>
      </c>
      <c r="I20">
        <v>24.666</v>
      </c>
      <c r="J20">
        <v>47.741</v>
      </c>
      <c r="K20">
        <f>(11.959+12.751)/2</f>
        <v>12.355</v>
      </c>
      <c r="L20" s="8">
        <v>2</v>
      </c>
      <c r="M20" s="8" t="s">
        <v>454</v>
      </c>
      <c r="N20" s="14">
        <v>0</v>
      </c>
      <c r="O20" s="1"/>
      <c r="Q20" s="4"/>
    </row>
    <row r="21" spans="1:17" x14ac:dyDescent="0.25">
      <c r="A21" t="s">
        <v>473</v>
      </c>
      <c r="B21" t="s">
        <v>745</v>
      </c>
      <c r="C21" t="s">
        <v>750</v>
      </c>
      <c r="D21" t="s">
        <v>751</v>
      </c>
      <c r="E21">
        <v>27</v>
      </c>
      <c r="F21" t="s">
        <v>500</v>
      </c>
      <c r="G21" s="20">
        <v>5</v>
      </c>
      <c r="H21">
        <v>3</v>
      </c>
      <c r="I21">
        <f>61.352+35.034</f>
        <v>96.385999999999996</v>
      </c>
      <c r="J21">
        <v>55.695999999999998</v>
      </c>
      <c r="K21">
        <f>(2.54+2.994+2.864)/3</f>
        <v>2.7993333333333332</v>
      </c>
      <c r="L21" s="8">
        <v>2</v>
      </c>
      <c r="M21" s="8" t="s">
        <v>454</v>
      </c>
      <c r="N21" s="14">
        <v>0</v>
      </c>
      <c r="O21" s="1"/>
      <c r="Q21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F195A-B59A-43B3-B89D-A3AFAE496A0A}">
  <dimension ref="A1:T63"/>
  <sheetViews>
    <sheetView workbookViewId="0">
      <selection activeCell="A27" sqref="A27:XFD27"/>
    </sheetView>
  </sheetViews>
  <sheetFormatPr defaultRowHeight="15" x14ac:dyDescent="0.25"/>
  <sheetData>
    <row r="1" spans="1:20" s="6" customFormat="1" x14ac:dyDescent="0.25">
      <c r="A1" s="6" t="s">
        <v>798</v>
      </c>
      <c r="B1" s="6" t="s">
        <v>163</v>
      </c>
      <c r="C1" s="6" t="s">
        <v>802</v>
      </c>
      <c r="D1" s="6" t="s">
        <v>749</v>
      </c>
      <c r="E1" s="6">
        <v>23.1</v>
      </c>
      <c r="F1" s="6" t="s">
        <v>865</v>
      </c>
      <c r="G1" s="6">
        <v>1</v>
      </c>
      <c r="H1" s="6">
        <v>1</v>
      </c>
      <c r="I1" s="6">
        <v>17.489000000000001</v>
      </c>
      <c r="J1" s="6">
        <v>67.558000000000007</v>
      </c>
      <c r="K1" s="25">
        <v>10.173</v>
      </c>
      <c r="L1" s="22">
        <v>0</v>
      </c>
      <c r="M1" s="22" t="s">
        <v>451</v>
      </c>
      <c r="N1" s="14" t="s">
        <v>452</v>
      </c>
      <c r="O1" s="6" t="s">
        <v>771</v>
      </c>
      <c r="Q1" s="24"/>
      <c r="S1" s="24"/>
    </row>
    <row r="2" spans="1:20" s="6" customFormat="1" x14ac:dyDescent="0.25">
      <c r="A2" s="6" t="s">
        <v>798</v>
      </c>
      <c r="B2" s="6" t="s">
        <v>163</v>
      </c>
      <c r="C2" s="6" t="s">
        <v>802</v>
      </c>
      <c r="D2" s="6" t="s">
        <v>749</v>
      </c>
      <c r="E2" s="6">
        <v>23.2</v>
      </c>
      <c r="G2" s="6">
        <v>1</v>
      </c>
      <c r="H2" s="6">
        <v>1</v>
      </c>
      <c r="I2" s="6">
        <v>26.491</v>
      </c>
      <c r="J2" s="6">
        <v>69.254999999999995</v>
      </c>
      <c r="K2" s="25">
        <v>7.7569999999999997</v>
      </c>
      <c r="L2" s="22">
        <v>1</v>
      </c>
      <c r="M2" s="22" t="s">
        <v>451</v>
      </c>
      <c r="N2" s="14" t="s">
        <v>452</v>
      </c>
      <c r="O2" s="6" t="s">
        <v>771</v>
      </c>
      <c r="Q2" s="24"/>
      <c r="S2" s="24"/>
    </row>
    <row r="3" spans="1:20" s="6" customFormat="1" x14ac:dyDescent="0.25">
      <c r="A3" s="6" t="s">
        <v>798</v>
      </c>
      <c r="B3" s="6" t="s">
        <v>163</v>
      </c>
      <c r="C3" s="6" t="s">
        <v>802</v>
      </c>
      <c r="D3" s="6" t="s">
        <v>749</v>
      </c>
      <c r="E3" s="6">
        <v>23.3</v>
      </c>
      <c r="G3" s="6">
        <v>1</v>
      </c>
      <c r="H3" s="6">
        <v>1</v>
      </c>
      <c r="I3" s="6">
        <v>17.047000000000001</v>
      </c>
      <c r="J3" s="6">
        <v>65.141000000000005</v>
      </c>
      <c r="K3" s="25">
        <v>10.534000000000001</v>
      </c>
      <c r="L3" s="22">
        <v>1</v>
      </c>
      <c r="M3" s="22" t="s">
        <v>451</v>
      </c>
      <c r="N3" s="14" t="s">
        <v>452</v>
      </c>
      <c r="O3" s="6" t="s">
        <v>771</v>
      </c>
      <c r="Q3" s="24"/>
      <c r="S3" s="24"/>
    </row>
    <row r="4" spans="1:20" s="6" customFormat="1" x14ac:dyDescent="0.25">
      <c r="A4" s="6" t="s">
        <v>798</v>
      </c>
      <c r="B4" s="6" t="s">
        <v>163</v>
      </c>
      <c r="C4" s="6" t="s">
        <v>802</v>
      </c>
      <c r="D4" s="6" t="s">
        <v>749</v>
      </c>
      <c r="E4" s="6">
        <v>23.4</v>
      </c>
      <c r="G4" s="6">
        <v>1</v>
      </c>
      <c r="H4" s="6">
        <v>1</v>
      </c>
      <c r="I4" s="6">
        <v>18.927</v>
      </c>
      <c r="J4" s="6">
        <v>43.765000000000001</v>
      </c>
      <c r="K4" s="25">
        <v>11.007999999999999</v>
      </c>
      <c r="L4" s="22">
        <v>1</v>
      </c>
      <c r="M4" s="22" t="s">
        <v>451</v>
      </c>
      <c r="N4" s="14" t="s">
        <v>452</v>
      </c>
      <c r="O4" s="6" t="s">
        <v>771</v>
      </c>
      <c r="Q4" s="24"/>
      <c r="S4" s="24"/>
    </row>
    <row r="5" spans="1:20" s="6" customFormat="1" x14ac:dyDescent="0.25">
      <c r="K5" s="25"/>
      <c r="L5" s="22"/>
      <c r="M5" s="22"/>
      <c r="N5" s="14"/>
      <c r="Q5" s="24"/>
      <c r="S5" s="24"/>
    </row>
    <row r="6" spans="1:20" x14ac:dyDescent="0.25">
      <c r="A6" t="s">
        <v>192</v>
      </c>
      <c r="B6" t="s">
        <v>745</v>
      </c>
      <c r="C6" t="s">
        <v>748</v>
      </c>
      <c r="D6" t="s">
        <v>749</v>
      </c>
      <c r="E6">
        <v>33.1</v>
      </c>
      <c r="F6" t="s">
        <v>228</v>
      </c>
      <c r="G6" s="28">
        <v>1</v>
      </c>
      <c r="H6">
        <v>1</v>
      </c>
      <c r="I6">
        <v>21.605</v>
      </c>
      <c r="J6">
        <v>79.191000000000003</v>
      </c>
      <c r="K6">
        <v>13.247</v>
      </c>
      <c r="L6" s="8">
        <v>2</v>
      </c>
      <c r="M6" s="8" t="s">
        <v>451</v>
      </c>
      <c r="N6" s="14" t="s">
        <v>452</v>
      </c>
      <c r="O6" s="1"/>
      <c r="Q6" s="4"/>
    </row>
    <row r="7" spans="1:20" x14ac:dyDescent="0.25">
      <c r="A7" t="s">
        <v>192</v>
      </c>
      <c r="B7" t="s">
        <v>745</v>
      </c>
      <c r="C7" t="s">
        <v>748</v>
      </c>
      <c r="D7" t="s">
        <v>749</v>
      </c>
      <c r="E7">
        <v>33.200000000000003</v>
      </c>
      <c r="G7" s="28">
        <v>1</v>
      </c>
      <c r="H7">
        <v>1</v>
      </c>
      <c r="I7">
        <v>35.893999999999998</v>
      </c>
      <c r="J7">
        <v>84.141999999999996</v>
      </c>
      <c r="K7">
        <v>14.211</v>
      </c>
      <c r="L7" s="8">
        <v>2</v>
      </c>
      <c r="M7" s="8" t="s">
        <v>451</v>
      </c>
      <c r="N7" s="14" t="s">
        <v>452</v>
      </c>
      <c r="O7" s="1"/>
      <c r="Q7" s="5" t="s">
        <v>189</v>
      </c>
      <c r="R7" s="2">
        <v>2</v>
      </c>
      <c r="S7" s="2">
        <v>3</v>
      </c>
      <c r="T7" s="2">
        <v>4</v>
      </c>
    </row>
    <row r="8" spans="1:20" x14ac:dyDescent="0.25">
      <c r="A8" t="s">
        <v>192</v>
      </c>
      <c r="B8" t="s">
        <v>745</v>
      </c>
      <c r="C8" t="s">
        <v>748</v>
      </c>
      <c r="D8" t="s">
        <v>749</v>
      </c>
      <c r="E8">
        <v>33.299999999999997</v>
      </c>
      <c r="G8" s="28">
        <v>1</v>
      </c>
      <c r="H8">
        <v>1</v>
      </c>
      <c r="I8">
        <v>37.587000000000003</v>
      </c>
      <c r="J8">
        <v>82.876999999999995</v>
      </c>
      <c r="K8">
        <v>14.551</v>
      </c>
      <c r="L8" s="8">
        <v>2</v>
      </c>
      <c r="M8" s="8" t="s">
        <v>451</v>
      </c>
      <c r="N8" s="14" t="s">
        <v>452</v>
      </c>
      <c r="O8" s="1"/>
      <c r="Q8" s="5" t="s">
        <v>749</v>
      </c>
      <c r="R8">
        <f>AVERAGE($J$6:$J$11)</f>
        <v>82.975333333333339</v>
      </c>
      <c r="S8">
        <f>AVERAGE(Analysis!$J$171:$J$355)</f>
        <v>38.711691891891903</v>
      </c>
      <c r="T8">
        <f>AVERAGE(Analysis!$J$356:$J$500)</f>
        <v>49.348544827586203</v>
      </c>
    </row>
    <row r="9" spans="1:20" x14ac:dyDescent="0.25">
      <c r="A9" t="s">
        <v>192</v>
      </c>
      <c r="B9" t="s">
        <v>745</v>
      </c>
      <c r="C9" t="s">
        <v>748</v>
      </c>
      <c r="D9" t="s">
        <v>749</v>
      </c>
      <c r="E9">
        <v>33.4</v>
      </c>
      <c r="G9" s="28">
        <v>1</v>
      </c>
      <c r="H9">
        <v>1</v>
      </c>
      <c r="I9">
        <v>27.087</v>
      </c>
      <c r="J9">
        <v>77.938999999999993</v>
      </c>
      <c r="K9">
        <v>13.491</v>
      </c>
      <c r="L9" s="8">
        <v>2</v>
      </c>
      <c r="M9" s="8" t="s">
        <v>451</v>
      </c>
      <c r="N9" s="14" t="s">
        <v>452</v>
      </c>
      <c r="O9" s="1"/>
      <c r="Q9" s="5"/>
    </row>
    <row r="10" spans="1:20" x14ac:dyDescent="0.25">
      <c r="A10" t="s">
        <v>192</v>
      </c>
      <c r="B10" t="s">
        <v>745</v>
      </c>
      <c r="C10" t="s">
        <v>748</v>
      </c>
      <c r="D10" t="s">
        <v>749</v>
      </c>
      <c r="E10">
        <v>33.5</v>
      </c>
      <c r="G10" s="28">
        <v>1</v>
      </c>
      <c r="H10">
        <v>1</v>
      </c>
      <c r="I10">
        <v>27.276</v>
      </c>
      <c r="J10">
        <v>86.667000000000002</v>
      </c>
      <c r="K10">
        <v>10.961</v>
      </c>
      <c r="L10" s="8">
        <v>2</v>
      </c>
      <c r="M10" s="8" t="s">
        <v>451</v>
      </c>
      <c r="N10" s="14" t="s">
        <v>452</v>
      </c>
      <c r="O10" s="1"/>
      <c r="Q10" s="5"/>
    </row>
    <row r="11" spans="1:20" x14ac:dyDescent="0.25">
      <c r="A11" t="s">
        <v>192</v>
      </c>
      <c r="B11" t="s">
        <v>745</v>
      </c>
      <c r="C11" t="s">
        <v>748</v>
      </c>
      <c r="D11" t="s">
        <v>749</v>
      </c>
      <c r="E11">
        <v>33.6</v>
      </c>
      <c r="G11" s="28">
        <v>1</v>
      </c>
      <c r="H11">
        <v>1</v>
      </c>
      <c r="I11">
        <v>42.779000000000003</v>
      </c>
      <c r="J11">
        <v>87.036000000000001</v>
      </c>
      <c r="K11">
        <v>15.956</v>
      </c>
      <c r="L11" s="8">
        <v>2</v>
      </c>
      <c r="M11" s="8" t="s">
        <v>451</v>
      </c>
      <c r="N11" s="14" t="s">
        <v>452</v>
      </c>
      <c r="O11" s="1"/>
      <c r="Q11" s="5"/>
    </row>
    <row r="12" spans="1:20" s="6" customFormat="1" x14ac:dyDescent="0.25">
      <c r="K12" s="25"/>
      <c r="L12" s="22"/>
      <c r="M12" s="22"/>
      <c r="N12" s="14"/>
      <c r="Q12" s="24"/>
      <c r="S12" s="24"/>
    </row>
    <row r="13" spans="1:20" x14ac:dyDescent="0.25">
      <c r="A13" t="s">
        <v>612</v>
      </c>
      <c r="B13" t="s">
        <v>746</v>
      </c>
      <c r="C13" t="s">
        <v>750</v>
      </c>
      <c r="D13" t="s">
        <v>751</v>
      </c>
      <c r="E13">
        <v>43.1</v>
      </c>
      <c r="F13" t="s">
        <v>761</v>
      </c>
      <c r="H13">
        <v>1</v>
      </c>
      <c r="I13">
        <v>15.208</v>
      </c>
      <c r="J13">
        <v>87.784999999999997</v>
      </c>
      <c r="K13">
        <v>14.952</v>
      </c>
      <c r="L13" s="8">
        <v>1</v>
      </c>
      <c r="M13" s="8" t="s">
        <v>451</v>
      </c>
      <c r="N13" s="14" t="s">
        <v>452</v>
      </c>
      <c r="O13" s="1"/>
      <c r="Q13" s="4"/>
    </row>
    <row r="14" spans="1:20" x14ac:dyDescent="0.25">
      <c r="A14" t="s">
        <v>612</v>
      </c>
      <c r="B14" t="s">
        <v>746</v>
      </c>
      <c r="C14" t="s">
        <v>750</v>
      </c>
      <c r="D14" t="s">
        <v>751</v>
      </c>
      <c r="E14">
        <v>43.2</v>
      </c>
      <c r="H14">
        <v>1</v>
      </c>
      <c r="I14">
        <v>18.247</v>
      </c>
      <c r="J14">
        <v>82.995999999999995</v>
      </c>
      <c r="K14">
        <v>14.842000000000001</v>
      </c>
      <c r="L14" s="8">
        <v>1</v>
      </c>
      <c r="M14" s="8" t="s">
        <v>451</v>
      </c>
      <c r="N14" s="14" t="s">
        <v>452</v>
      </c>
      <c r="O14" s="1"/>
      <c r="Q14" s="4"/>
    </row>
    <row r="15" spans="1:20" x14ac:dyDescent="0.25">
      <c r="A15" t="s">
        <v>612</v>
      </c>
      <c r="B15" t="s">
        <v>746</v>
      </c>
      <c r="C15" t="s">
        <v>750</v>
      </c>
      <c r="D15" t="s">
        <v>751</v>
      </c>
      <c r="E15">
        <v>43.3</v>
      </c>
      <c r="H15">
        <v>1</v>
      </c>
      <c r="I15">
        <v>18.805</v>
      </c>
      <c r="J15">
        <v>93.542000000000002</v>
      </c>
      <c r="K15">
        <v>12.518000000000001</v>
      </c>
      <c r="L15" s="8">
        <v>1</v>
      </c>
      <c r="M15" s="8" t="s">
        <v>451</v>
      </c>
      <c r="N15" s="14" t="s">
        <v>452</v>
      </c>
      <c r="O15" s="1"/>
      <c r="Q15" s="4"/>
    </row>
    <row r="16" spans="1:20" x14ac:dyDescent="0.25">
      <c r="A16" t="s">
        <v>612</v>
      </c>
      <c r="B16" t="s">
        <v>746</v>
      </c>
      <c r="C16" t="s">
        <v>750</v>
      </c>
      <c r="D16" t="s">
        <v>751</v>
      </c>
      <c r="E16">
        <v>43.4</v>
      </c>
      <c r="H16">
        <v>1</v>
      </c>
      <c r="I16">
        <v>17.318000000000001</v>
      </c>
      <c r="J16">
        <v>70.37</v>
      </c>
      <c r="K16">
        <v>11.64</v>
      </c>
      <c r="L16" s="8">
        <v>1</v>
      </c>
      <c r="M16" s="8" t="s">
        <v>451</v>
      </c>
      <c r="N16" s="14" t="s">
        <v>452</v>
      </c>
      <c r="O16" s="1"/>
      <c r="Q16" s="4"/>
    </row>
    <row r="17" spans="1:17" x14ac:dyDescent="0.25">
      <c r="A17" t="s">
        <v>612</v>
      </c>
      <c r="B17" t="s">
        <v>746</v>
      </c>
      <c r="C17" t="s">
        <v>750</v>
      </c>
      <c r="D17" t="s">
        <v>751</v>
      </c>
      <c r="E17">
        <v>43.5</v>
      </c>
      <c r="H17">
        <v>1</v>
      </c>
      <c r="I17">
        <v>31.481999999999999</v>
      </c>
      <c r="J17">
        <v>96.712999999999994</v>
      </c>
      <c r="K17">
        <v>16.332000000000001</v>
      </c>
      <c r="L17" s="8">
        <v>1</v>
      </c>
      <c r="M17" s="8" t="s">
        <v>451</v>
      </c>
      <c r="N17" s="14" t="s">
        <v>452</v>
      </c>
      <c r="O17" s="1"/>
      <c r="Q17" s="4"/>
    </row>
    <row r="18" spans="1:17" x14ac:dyDescent="0.25">
      <c r="A18" t="s">
        <v>612</v>
      </c>
      <c r="B18" t="s">
        <v>746</v>
      </c>
      <c r="C18" t="s">
        <v>750</v>
      </c>
      <c r="D18" t="s">
        <v>751</v>
      </c>
      <c r="E18">
        <v>44.1</v>
      </c>
      <c r="F18" t="s">
        <v>762</v>
      </c>
      <c r="H18">
        <v>1</v>
      </c>
      <c r="I18">
        <v>17.535</v>
      </c>
      <c r="J18">
        <v>86.819000000000003</v>
      </c>
      <c r="K18">
        <v>9.4060000000000006</v>
      </c>
      <c r="L18" s="8">
        <v>1</v>
      </c>
      <c r="M18" s="8" t="s">
        <v>451</v>
      </c>
      <c r="N18" s="14" t="s">
        <v>452</v>
      </c>
      <c r="O18" s="1"/>
      <c r="Q18" s="4"/>
    </row>
    <row r="19" spans="1:17" x14ac:dyDescent="0.25">
      <c r="A19" t="s">
        <v>612</v>
      </c>
      <c r="B19" t="s">
        <v>746</v>
      </c>
      <c r="C19" t="s">
        <v>750</v>
      </c>
      <c r="D19" t="s">
        <v>751</v>
      </c>
      <c r="E19">
        <v>44.2</v>
      </c>
      <c r="H19">
        <v>1</v>
      </c>
      <c r="I19">
        <v>10.821999999999999</v>
      </c>
      <c r="J19">
        <v>72.174000000000007</v>
      </c>
      <c r="K19">
        <v>4.3639999999999999</v>
      </c>
      <c r="L19" s="8">
        <v>1</v>
      </c>
      <c r="M19" s="8" t="s">
        <v>451</v>
      </c>
      <c r="N19" s="14" t="s">
        <v>452</v>
      </c>
      <c r="O19" s="1"/>
      <c r="Q19" s="4"/>
    </row>
    <row r="20" spans="1:17" x14ac:dyDescent="0.25">
      <c r="A20" t="s">
        <v>612</v>
      </c>
      <c r="B20" t="s">
        <v>746</v>
      </c>
      <c r="C20" t="s">
        <v>750</v>
      </c>
      <c r="D20" t="s">
        <v>751</v>
      </c>
      <c r="E20">
        <v>45.1</v>
      </c>
      <c r="F20" t="s">
        <v>763</v>
      </c>
      <c r="H20">
        <v>1</v>
      </c>
      <c r="I20">
        <v>9.7910000000000004</v>
      </c>
      <c r="J20">
        <v>78.322000000000003</v>
      </c>
      <c r="K20">
        <v>3.8119999999999998</v>
      </c>
      <c r="L20" s="8">
        <v>0</v>
      </c>
      <c r="M20" s="8" t="s">
        <v>451</v>
      </c>
      <c r="N20" s="14" t="s">
        <v>452</v>
      </c>
      <c r="O20" s="1" t="s">
        <v>758</v>
      </c>
      <c r="Q20" s="4"/>
    </row>
    <row r="21" spans="1:17" x14ac:dyDescent="0.25">
      <c r="A21" t="s">
        <v>612</v>
      </c>
      <c r="B21" t="s">
        <v>746</v>
      </c>
      <c r="C21" t="s">
        <v>750</v>
      </c>
      <c r="D21" t="s">
        <v>751</v>
      </c>
      <c r="E21">
        <v>45.2</v>
      </c>
      <c r="H21">
        <v>1</v>
      </c>
      <c r="I21">
        <v>11.298</v>
      </c>
      <c r="J21">
        <v>77.072999999999993</v>
      </c>
      <c r="K21">
        <v>7.8159999999999998</v>
      </c>
      <c r="L21" s="8">
        <v>0</v>
      </c>
      <c r="M21" s="8" t="s">
        <v>451</v>
      </c>
      <c r="N21" s="14" t="s">
        <v>452</v>
      </c>
      <c r="O21" s="1"/>
      <c r="Q21" s="4"/>
    </row>
    <row r="22" spans="1:17" x14ac:dyDescent="0.25">
      <c r="A22" t="s">
        <v>612</v>
      </c>
      <c r="B22" t="s">
        <v>746</v>
      </c>
      <c r="C22" t="s">
        <v>750</v>
      </c>
      <c r="D22" t="s">
        <v>751</v>
      </c>
      <c r="E22">
        <v>45.3</v>
      </c>
      <c r="H22">
        <v>1</v>
      </c>
      <c r="I22">
        <v>16.483000000000001</v>
      </c>
      <c r="J22">
        <v>65.305999999999997</v>
      </c>
      <c r="K22">
        <v>7.2320000000000002</v>
      </c>
      <c r="L22" s="8">
        <v>0</v>
      </c>
      <c r="M22" s="8" t="s">
        <v>451</v>
      </c>
      <c r="N22" s="14" t="s">
        <v>452</v>
      </c>
      <c r="O22" s="1"/>
      <c r="Q22" s="4"/>
    </row>
    <row r="23" spans="1:17" x14ac:dyDescent="0.25">
      <c r="A23" t="s">
        <v>612</v>
      </c>
      <c r="B23" t="s">
        <v>746</v>
      </c>
      <c r="C23" t="s">
        <v>750</v>
      </c>
      <c r="D23" t="s">
        <v>751</v>
      </c>
      <c r="E23">
        <v>46.1</v>
      </c>
      <c r="F23" t="s">
        <v>764</v>
      </c>
      <c r="H23">
        <v>1</v>
      </c>
      <c r="I23">
        <v>14.863</v>
      </c>
      <c r="J23">
        <v>68.394000000000005</v>
      </c>
      <c r="K23">
        <v>5.2469999999999999</v>
      </c>
      <c r="L23" s="8">
        <v>0</v>
      </c>
      <c r="M23" s="8" t="s">
        <v>451</v>
      </c>
      <c r="N23" s="14" t="s">
        <v>452</v>
      </c>
      <c r="O23" s="1"/>
      <c r="Q23" s="4"/>
    </row>
    <row r="24" spans="1:17" x14ac:dyDescent="0.25">
      <c r="A24" t="s">
        <v>612</v>
      </c>
      <c r="B24" t="s">
        <v>746</v>
      </c>
      <c r="C24" t="s">
        <v>750</v>
      </c>
      <c r="D24" t="s">
        <v>751</v>
      </c>
      <c r="E24">
        <v>46.2</v>
      </c>
      <c r="H24">
        <v>1</v>
      </c>
      <c r="I24">
        <v>7.1760000000000002</v>
      </c>
      <c r="J24">
        <v>85.135000000000005</v>
      </c>
      <c r="K24">
        <v>3.5</v>
      </c>
      <c r="L24" s="8">
        <v>0</v>
      </c>
      <c r="M24" s="8" t="s">
        <v>451</v>
      </c>
      <c r="N24" s="14" t="s">
        <v>452</v>
      </c>
      <c r="O24" s="1"/>
      <c r="Q24" s="4"/>
    </row>
    <row r="25" spans="1:17" x14ac:dyDescent="0.25">
      <c r="A25" t="s">
        <v>612</v>
      </c>
      <c r="B25" t="s">
        <v>746</v>
      </c>
      <c r="C25" t="s">
        <v>750</v>
      </c>
      <c r="D25" t="s">
        <v>751</v>
      </c>
      <c r="E25">
        <v>46.3</v>
      </c>
      <c r="H25">
        <v>1</v>
      </c>
      <c r="I25">
        <v>10.741</v>
      </c>
      <c r="J25">
        <v>100</v>
      </c>
      <c r="K25">
        <v>8.0869999999999997</v>
      </c>
      <c r="L25" s="8">
        <v>0</v>
      </c>
      <c r="M25" s="8" t="s">
        <v>451</v>
      </c>
      <c r="N25" s="14" t="s">
        <v>452</v>
      </c>
      <c r="O25" s="1"/>
      <c r="Q25" s="4"/>
    </row>
    <row r="26" spans="1:17" x14ac:dyDescent="0.25">
      <c r="A26" t="s">
        <v>612</v>
      </c>
      <c r="B26" t="s">
        <v>746</v>
      </c>
      <c r="C26" t="s">
        <v>750</v>
      </c>
      <c r="D26" t="s">
        <v>751</v>
      </c>
      <c r="E26">
        <v>46.4</v>
      </c>
      <c r="H26">
        <v>1</v>
      </c>
      <c r="I26">
        <v>12.257999999999999</v>
      </c>
      <c r="J26">
        <v>64.052000000000007</v>
      </c>
      <c r="K26">
        <v>4.97</v>
      </c>
      <c r="L26" s="8">
        <v>0</v>
      </c>
      <c r="M26" s="8" t="s">
        <v>451</v>
      </c>
      <c r="N26" s="14" t="s">
        <v>452</v>
      </c>
      <c r="O26" s="1"/>
      <c r="Q26" s="4"/>
    </row>
    <row r="28" spans="1:17" x14ac:dyDescent="0.25">
      <c r="A28" t="s">
        <v>655</v>
      </c>
      <c r="B28" t="s">
        <v>746</v>
      </c>
      <c r="C28" t="s">
        <v>750</v>
      </c>
      <c r="D28" t="s">
        <v>749</v>
      </c>
      <c r="E28">
        <v>80</v>
      </c>
      <c r="F28" t="s">
        <v>737</v>
      </c>
      <c r="H28">
        <v>1</v>
      </c>
      <c r="I28">
        <f>39.298+15.352</f>
        <v>54.650000000000006</v>
      </c>
      <c r="J28">
        <v>91.905000000000001</v>
      </c>
      <c r="K28">
        <f>(15.419+10.698+4.894)/3</f>
        <v>10.337000000000002</v>
      </c>
      <c r="L28" s="8">
        <v>1</v>
      </c>
      <c r="M28" s="8" t="s">
        <v>454</v>
      </c>
      <c r="N28" s="14">
        <v>0</v>
      </c>
      <c r="O28" s="1"/>
      <c r="Q28" s="4"/>
    </row>
    <row r="29" spans="1:17" x14ac:dyDescent="0.25">
      <c r="A29" t="s">
        <v>655</v>
      </c>
      <c r="B29" t="s">
        <v>746</v>
      </c>
      <c r="C29" t="s">
        <v>750</v>
      </c>
      <c r="D29" t="s">
        <v>749</v>
      </c>
      <c r="E29">
        <v>81</v>
      </c>
      <c r="F29" t="s">
        <v>738</v>
      </c>
      <c r="H29">
        <v>1</v>
      </c>
      <c r="I29">
        <v>35.460999999999999</v>
      </c>
      <c r="J29">
        <v>87.656000000000006</v>
      </c>
      <c r="K29">
        <f>(11.763+13.224)/2</f>
        <v>12.493500000000001</v>
      </c>
      <c r="L29" s="8">
        <v>0</v>
      </c>
      <c r="M29" s="8" t="s">
        <v>451</v>
      </c>
      <c r="N29" s="14" t="s">
        <v>452</v>
      </c>
      <c r="O29" s="1"/>
      <c r="Q29" s="4"/>
    </row>
    <row r="30" spans="1:17" x14ac:dyDescent="0.25">
      <c r="A30" t="s">
        <v>655</v>
      </c>
      <c r="B30" t="s">
        <v>746</v>
      </c>
      <c r="C30" t="s">
        <v>750</v>
      </c>
      <c r="D30" t="s">
        <v>749</v>
      </c>
      <c r="E30">
        <v>82</v>
      </c>
      <c r="F30" t="s">
        <v>739</v>
      </c>
      <c r="H30">
        <v>1</v>
      </c>
      <c r="I30">
        <v>19.300999999999998</v>
      </c>
      <c r="J30">
        <v>71.846000000000004</v>
      </c>
      <c r="K30">
        <f>(9.758+9.031)/2</f>
        <v>9.3945000000000007</v>
      </c>
      <c r="L30" s="8">
        <v>0</v>
      </c>
      <c r="M30" s="8" t="s">
        <v>451</v>
      </c>
      <c r="N30" s="14" t="s">
        <v>452</v>
      </c>
      <c r="O30" s="1"/>
      <c r="Q30" s="4"/>
    </row>
    <row r="31" spans="1:17" x14ac:dyDescent="0.25">
      <c r="A31" t="s">
        <v>655</v>
      </c>
      <c r="B31" t="s">
        <v>746</v>
      </c>
      <c r="C31" t="s">
        <v>750</v>
      </c>
      <c r="D31" t="s">
        <v>749</v>
      </c>
      <c r="E31">
        <v>83</v>
      </c>
      <c r="F31" t="s">
        <v>740</v>
      </c>
      <c r="H31">
        <v>1</v>
      </c>
      <c r="I31">
        <v>25.062999999999999</v>
      </c>
      <c r="J31">
        <v>78.790999999999997</v>
      </c>
      <c r="K31">
        <f>(3.338+5.191)/2</f>
        <v>4.2645</v>
      </c>
      <c r="L31" s="8">
        <v>0</v>
      </c>
      <c r="M31" s="8" t="s">
        <v>451</v>
      </c>
      <c r="N31" s="14" t="s">
        <v>452</v>
      </c>
      <c r="O31" s="1"/>
      <c r="Q31" s="4"/>
    </row>
    <row r="32" spans="1:17" x14ac:dyDescent="0.25">
      <c r="A32" t="s">
        <v>655</v>
      </c>
      <c r="B32" t="s">
        <v>746</v>
      </c>
      <c r="C32" t="s">
        <v>750</v>
      </c>
      <c r="D32" t="s">
        <v>749</v>
      </c>
      <c r="E32">
        <v>84</v>
      </c>
      <c r="F32" t="s">
        <v>741</v>
      </c>
      <c r="H32">
        <v>1</v>
      </c>
      <c r="I32">
        <v>30.74</v>
      </c>
      <c r="J32">
        <v>88.14</v>
      </c>
      <c r="K32">
        <f>(3.299+2.395)/2</f>
        <v>2.847</v>
      </c>
      <c r="L32" s="8">
        <v>0</v>
      </c>
      <c r="M32" s="8" t="s">
        <v>451</v>
      </c>
      <c r="N32" s="14" t="s">
        <v>452</v>
      </c>
      <c r="O32" s="1"/>
      <c r="Q32" s="4"/>
    </row>
    <row r="34" spans="1:17" x14ac:dyDescent="0.25">
      <c r="A34" t="s">
        <v>655</v>
      </c>
      <c r="B34" t="s">
        <v>746</v>
      </c>
      <c r="C34" t="s">
        <v>750</v>
      </c>
      <c r="D34" t="s">
        <v>749</v>
      </c>
      <c r="E34">
        <v>88.1</v>
      </c>
      <c r="F34" t="s">
        <v>765</v>
      </c>
      <c r="H34">
        <v>1</v>
      </c>
      <c r="I34">
        <v>28.457000000000001</v>
      </c>
      <c r="J34">
        <v>66.525000000000006</v>
      </c>
      <c r="K34">
        <v>9.5950000000000006</v>
      </c>
      <c r="L34" s="8">
        <v>4</v>
      </c>
      <c r="M34" s="8" t="s">
        <v>451</v>
      </c>
      <c r="N34" s="14" t="s">
        <v>452</v>
      </c>
      <c r="O34" s="1"/>
      <c r="Q34" s="4"/>
    </row>
    <row r="35" spans="1:17" x14ac:dyDescent="0.25">
      <c r="A35" t="s">
        <v>655</v>
      </c>
      <c r="B35" t="s">
        <v>746</v>
      </c>
      <c r="C35" t="s">
        <v>750</v>
      </c>
      <c r="D35" t="s">
        <v>749</v>
      </c>
      <c r="E35">
        <v>88.2</v>
      </c>
      <c r="H35">
        <v>1</v>
      </c>
      <c r="I35">
        <v>22.521999999999998</v>
      </c>
      <c r="J35">
        <v>85.012</v>
      </c>
      <c r="K35">
        <v>12.013999999999999</v>
      </c>
      <c r="L35" s="8">
        <v>4</v>
      </c>
      <c r="M35" s="8" t="s">
        <v>451</v>
      </c>
      <c r="N35" s="14" t="s">
        <v>452</v>
      </c>
      <c r="O35" s="1"/>
      <c r="Q35" s="4"/>
    </row>
    <row r="36" spans="1:17" x14ac:dyDescent="0.25">
      <c r="A36" t="s">
        <v>655</v>
      </c>
      <c r="B36" t="s">
        <v>746</v>
      </c>
      <c r="C36" t="s">
        <v>750</v>
      </c>
      <c r="D36" t="s">
        <v>749</v>
      </c>
      <c r="E36">
        <v>88.3</v>
      </c>
      <c r="H36">
        <v>1</v>
      </c>
      <c r="I36">
        <v>17.166</v>
      </c>
      <c r="J36">
        <v>86.802000000000007</v>
      </c>
      <c r="K36">
        <v>11.638</v>
      </c>
      <c r="L36" s="8">
        <v>4</v>
      </c>
      <c r="M36" s="8" t="s">
        <v>451</v>
      </c>
      <c r="N36" s="14" t="s">
        <v>452</v>
      </c>
      <c r="O36" s="1"/>
      <c r="Q36" s="4"/>
    </row>
    <row r="37" spans="1:17" x14ac:dyDescent="0.25">
      <c r="A37" t="s">
        <v>655</v>
      </c>
      <c r="B37" t="s">
        <v>746</v>
      </c>
      <c r="C37" t="s">
        <v>750</v>
      </c>
      <c r="D37" t="s">
        <v>749</v>
      </c>
      <c r="E37">
        <v>88.4</v>
      </c>
      <c r="H37">
        <v>1</v>
      </c>
      <c r="I37">
        <v>15.212</v>
      </c>
      <c r="J37">
        <v>80.725999999999999</v>
      </c>
      <c r="K37">
        <v>10.551</v>
      </c>
      <c r="L37" s="8">
        <v>4</v>
      </c>
      <c r="M37" s="8" t="s">
        <v>451</v>
      </c>
      <c r="N37" s="14" t="s">
        <v>452</v>
      </c>
      <c r="O37" s="1"/>
      <c r="Q37" s="4"/>
    </row>
    <row r="38" spans="1:17" x14ac:dyDescent="0.25">
      <c r="A38" t="s">
        <v>655</v>
      </c>
      <c r="B38" t="s">
        <v>746</v>
      </c>
      <c r="C38" t="s">
        <v>750</v>
      </c>
      <c r="D38" t="s">
        <v>749</v>
      </c>
      <c r="E38">
        <v>88.5</v>
      </c>
      <c r="H38">
        <v>1</v>
      </c>
      <c r="I38">
        <v>17.852</v>
      </c>
      <c r="J38">
        <v>90.986999999999995</v>
      </c>
      <c r="K38">
        <v>12.871</v>
      </c>
      <c r="L38" s="8">
        <v>4</v>
      </c>
      <c r="M38" s="8" t="s">
        <v>451</v>
      </c>
      <c r="N38" s="14" t="s">
        <v>452</v>
      </c>
      <c r="O38" s="1"/>
      <c r="Q38" s="4"/>
    </row>
    <row r="39" spans="1:17" x14ac:dyDescent="0.25">
      <c r="A39" t="s">
        <v>655</v>
      </c>
      <c r="B39" t="s">
        <v>746</v>
      </c>
      <c r="C39" t="s">
        <v>750</v>
      </c>
      <c r="D39" t="s">
        <v>749</v>
      </c>
      <c r="E39">
        <v>88.6</v>
      </c>
      <c r="H39">
        <v>1</v>
      </c>
      <c r="I39">
        <v>33.906999999999996</v>
      </c>
      <c r="J39">
        <v>87.257000000000005</v>
      </c>
      <c r="K39">
        <v>13.804</v>
      </c>
      <c r="L39" s="8">
        <v>4</v>
      </c>
      <c r="M39" s="8" t="s">
        <v>451</v>
      </c>
      <c r="N39" s="14" t="s">
        <v>452</v>
      </c>
      <c r="O39" s="1"/>
      <c r="Q39" s="4"/>
    </row>
    <row r="40" spans="1:17" x14ac:dyDescent="0.25">
      <c r="A40" t="s">
        <v>655</v>
      </c>
      <c r="B40" t="s">
        <v>746</v>
      </c>
      <c r="C40" t="s">
        <v>750</v>
      </c>
      <c r="D40" t="s">
        <v>749</v>
      </c>
      <c r="E40">
        <v>88.7</v>
      </c>
      <c r="H40">
        <v>1</v>
      </c>
      <c r="I40">
        <v>19.393999999999998</v>
      </c>
      <c r="J40">
        <v>72.614999999999995</v>
      </c>
      <c r="K40">
        <v>12.138999999999999</v>
      </c>
      <c r="L40" s="8">
        <v>4</v>
      </c>
      <c r="M40" s="8" t="s">
        <v>451</v>
      </c>
      <c r="N40" s="14" t="s">
        <v>452</v>
      </c>
      <c r="O40" s="1"/>
      <c r="Q40" s="4"/>
    </row>
    <row r="41" spans="1:17" x14ac:dyDescent="0.25">
      <c r="A41" t="s">
        <v>655</v>
      </c>
      <c r="B41" t="s">
        <v>746</v>
      </c>
      <c r="C41" t="s">
        <v>750</v>
      </c>
      <c r="D41" t="s">
        <v>749</v>
      </c>
      <c r="E41">
        <v>88.8</v>
      </c>
      <c r="H41">
        <v>1</v>
      </c>
      <c r="I41">
        <v>20.498999999999999</v>
      </c>
      <c r="J41">
        <v>81.311999999999998</v>
      </c>
      <c r="K41">
        <v>13.592000000000001</v>
      </c>
      <c r="L41" s="8">
        <v>4</v>
      </c>
      <c r="M41" s="8" t="s">
        <v>451</v>
      </c>
      <c r="N41" s="14" t="s">
        <v>452</v>
      </c>
      <c r="O41" s="1"/>
      <c r="Q41" s="4"/>
    </row>
    <row r="42" spans="1:17" x14ac:dyDescent="0.25">
      <c r="A42" t="s">
        <v>655</v>
      </c>
      <c r="B42" t="s">
        <v>746</v>
      </c>
      <c r="C42" t="s">
        <v>750</v>
      </c>
      <c r="D42" t="s">
        <v>749</v>
      </c>
      <c r="E42">
        <v>88.9</v>
      </c>
      <c r="H42">
        <v>1</v>
      </c>
      <c r="I42">
        <v>9.2509999999999994</v>
      </c>
      <c r="J42">
        <v>72.034000000000006</v>
      </c>
      <c r="K42">
        <v>5.3860000000000001</v>
      </c>
      <c r="L42" s="8">
        <v>4</v>
      </c>
      <c r="M42" s="8" t="s">
        <v>451</v>
      </c>
      <c r="N42" s="14" t="s">
        <v>452</v>
      </c>
      <c r="O42" s="1" t="s">
        <v>816</v>
      </c>
      <c r="Q42" s="4"/>
    </row>
    <row r="43" spans="1:17" x14ac:dyDescent="0.25">
      <c r="A43" t="s">
        <v>655</v>
      </c>
      <c r="B43" t="s">
        <v>746</v>
      </c>
      <c r="C43" t="s">
        <v>750</v>
      </c>
      <c r="D43" t="s">
        <v>749</v>
      </c>
      <c r="E43">
        <v>88.91</v>
      </c>
      <c r="H43">
        <v>1</v>
      </c>
      <c r="I43">
        <v>13.237</v>
      </c>
      <c r="J43">
        <v>78.116</v>
      </c>
      <c r="K43">
        <v>6.6020000000000003</v>
      </c>
      <c r="L43" s="8">
        <v>4</v>
      </c>
      <c r="M43" s="8" t="s">
        <v>451</v>
      </c>
      <c r="N43" s="14" t="s">
        <v>452</v>
      </c>
      <c r="O43" s="1" t="s">
        <v>816</v>
      </c>
      <c r="Q43" s="4"/>
    </row>
    <row r="44" spans="1:17" x14ac:dyDescent="0.25">
      <c r="A44" t="s">
        <v>655</v>
      </c>
      <c r="B44" t="s">
        <v>746</v>
      </c>
      <c r="C44" t="s">
        <v>750</v>
      </c>
      <c r="D44" t="s">
        <v>749</v>
      </c>
      <c r="E44">
        <v>89.1</v>
      </c>
      <c r="F44" t="s">
        <v>766</v>
      </c>
      <c r="H44">
        <v>1</v>
      </c>
      <c r="I44">
        <v>10.718</v>
      </c>
      <c r="J44">
        <v>74.483000000000004</v>
      </c>
      <c r="K44">
        <v>6.4989999999999997</v>
      </c>
      <c r="L44" s="8">
        <v>1</v>
      </c>
      <c r="M44" s="8" t="s">
        <v>451</v>
      </c>
      <c r="N44" s="14" t="s">
        <v>452</v>
      </c>
      <c r="O44" s="1"/>
      <c r="Q44" s="4"/>
    </row>
    <row r="45" spans="1:17" x14ac:dyDescent="0.25">
      <c r="A45" t="s">
        <v>655</v>
      </c>
      <c r="B45" t="s">
        <v>746</v>
      </c>
      <c r="C45" t="s">
        <v>750</v>
      </c>
      <c r="D45" t="s">
        <v>749</v>
      </c>
      <c r="E45">
        <v>89.2</v>
      </c>
      <c r="H45">
        <v>1</v>
      </c>
      <c r="I45">
        <v>15.84</v>
      </c>
      <c r="J45">
        <v>71.046000000000006</v>
      </c>
      <c r="K45">
        <v>6.5259999999999998</v>
      </c>
      <c r="L45" s="8">
        <v>1</v>
      </c>
      <c r="M45" s="8" t="s">
        <v>451</v>
      </c>
      <c r="N45" s="14" t="s">
        <v>452</v>
      </c>
      <c r="O45" s="1"/>
      <c r="Q45" s="4"/>
    </row>
    <row r="46" spans="1:17" x14ac:dyDescent="0.25">
      <c r="A46" t="s">
        <v>655</v>
      </c>
      <c r="B46" t="s">
        <v>746</v>
      </c>
      <c r="C46" t="s">
        <v>750</v>
      </c>
      <c r="D46" t="s">
        <v>749</v>
      </c>
      <c r="E46">
        <v>89.3</v>
      </c>
      <c r="H46">
        <v>1</v>
      </c>
      <c r="I46">
        <v>4.9020000000000001</v>
      </c>
      <c r="J46">
        <v>100</v>
      </c>
      <c r="K46">
        <v>4.93</v>
      </c>
      <c r="L46" s="8">
        <v>1</v>
      </c>
      <c r="M46" s="8" t="s">
        <v>451</v>
      </c>
      <c r="N46" s="14" t="s">
        <v>452</v>
      </c>
      <c r="O46" s="1"/>
      <c r="Q46" s="4"/>
    </row>
    <row r="47" spans="1:17" x14ac:dyDescent="0.25">
      <c r="A47" t="s">
        <v>655</v>
      </c>
      <c r="B47" t="s">
        <v>746</v>
      </c>
      <c r="C47" t="s">
        <v>750</v>
      </c>
      <c r="D47" t="s">
        <v>749</v>
      </c>
      <c r="E47">
        <v>89.4</v>
      </c>
      <c r="H47">
        <v>1</v>
      </c>
      <c r="I47">
        <v>5.298</v>
      </c>
      <c r="J47">
        <v>97.540999999999997</v>
      </c>
      <c r="K47">
        <v>5.5979999999999999</v>
      </c>
      <c r="L47" s="8">
        <v>1</v>
      </c>
      <c r="M47" s="8" t="s">
        <v>451</v>
      </c>
      <c r="N47" s="14" t="s">
        <v>452</v>
      </c>
      <c r="O47" s="1"/>
      <c r="Q47" s="4"/>
    </row>
    <row r="48" spans="1:17" x14ac:dyDescent="0.25">
      <c r="A48" t="s">
        <v>655</v>
      </c>
      <c r="B48" t="s">
        <v>746</v>
      </c>
      <c r="C48" t="s">
        <v>750</v>
      </c>
      <c r="D48" t="s">
        <v>749</v>
      </c>
      <c r="E48">
        <v>90.1</v>
      </c>
      <c r="F48" t="s">
        <v>767</v>
      </c>
      <c r="H48">
        <v>1</v>
      </c>
      <c r="I48">
        <v>10.192</v>
      </c>
      <c r="J48">
        <v>72.201999999999998</v>
      </c>
      <c r="K48">
        <v>5.6479999999999997</v>
      </c>
      <c r="L48" s="8">
        <v>2</v>
      </c>
      <c r="M48" s="8" t="s">
        <v>451</v>
      </c>
      <c r="N48" s="14" t="s">
        <v>452</v>
      </c>
      <c r="O48" s="1"/>
      <c r="Q48" s="4"/>
    </row>
    <row r="49" spans="1:17" x14ac:dyDescent="0.25">
      <c r="A49" t="s">
        <v>655</v>
      </c>
      <c r="B49" t="s">
        <v>746</v>
      </c>
      <c r="C49" t="s">
        <v>750</v>
      </c>
      <c r="D49" t="s">
        <v>749</v>
      </c>
      <c r="E49">
        <v>90.2</v>
      </c>
      <c r="H49">
        <v>1</v>
      </c>
      <c r="I49">
        <v>11.333</v>
      </c>
      <c r="J49">
        <v>76.033000000000001</v>
      </c>
      <c r="K49">
        <v>7.0810000000000004</v>
      </c>
      <c r="L49" s="8">
        <v>2</v>
      </c>
      <c r="M49" s="8" t="s">
        <v>451</v>
      </c>
      <c r="N49" s="14" t="s">
        <v>452</v>
      </c>
      <c r="O49" s="1"/>
      <c r="Q49" s="4"/>
    </row>
    <row r="50" spans="1:17" x14ac:dyDescent="0.25">
      <c r="A50" t="s">
        <v>655</v>
      </c>
      <c r="B50" t="s">
        <v>746</v>
      </c>
      <c r="C50" t="s">
        <v>750</v>
      </c>
      <c r="D50" t="s">
        <v>749</v>
      </c>
      <c r="E50">
        <v>90.3</v>
      </c>
      <c r="H50">
        <v>1</v>
      </c>
      <c r="I50">
        <v>12.882</v>
      </c>
      <c r="J50">
        <v>82.927000000000007</v>
      </c>
      <c r="K50">
        <v>7.4089999999999998</v>
      </c>
      <c r="L50" s="8">
        <v>2</v>
      </c>
      <c r="M50" s="8" t="s">
        <v>451</v>
      </c>
      <c r="N50" s="14" t="s">
        <v>452</v>
      </c>
      <c r="O50" s="1"/>
      <c r="Q50" s="4"/>
    </row>
    <row r="51" spans="1:17" x14ac:dyDescent="0.25">
      <c r="A51" t="s">
        <v>655</v>
      </c>
      <c r="B51" t="s">
        <v>746</v>
      </c>
      <c r="C51" t="s">
        <v>750</v>
      </c>
      <c r="D51" t="s">
        <v>749</v>
      </c>
      <c r="E51">
        <v>90.4</v>
      </c>
      <c r="H51">
        <v>1</v>
      </c>
      <c r="I51">
        <v>8.6199999999999992</v>
      </c>
      <c r="J51">
        <v>69.230999999999995</v>
      </c>
      <c r="K51">
        <v>10.551</v>
      </c>
      <c r="L51" s="8">
        <v>2</v>
      </c>
      <c r="M51" s="8" t="s">
        <v>451</v>
      </c>
      <c r="N51" s="14" t="s">
        <v>452</v>
      </c>
      <c r="O51" s="1"/>
      <c r="Q51" s="4"/>
    </row>
    <row r="52" spans="1:17" x14ac:dyDescent="0.25">
      <c r="A52" t="s">
        <v>655</v>
      </c>
      <c r="B52" t="s">
        <v>746</v>
      </c>
      <c r="C52" t="s">
        <v>750</v>
      </c>
      <c r="D52" t="s">
        <v>749</v>
      </c>
      <c r="E52">
        <v>90.5</v>
      </c>
      <c r="H52">
        <v>1</v>
      </c>
      <c r="I52">
        <v>9.3000000000000007</v>
      </c>
      <c r="J52">
        <v>78.869</v>
      </c>
      <c r="K52">
        <v>7.944</v>
      </c>
      <c r="L52" s="8">
        <v>2</v>
      </c>
      <c r="M52" s="8" t="s">
        <v>451</v>
      </c>
      <c r="N52" s="14" t="s">
        <v>452</v>
      </c>
      <c r="O52" s="1"/>
      <c r="Q52" s="4"/>
    </row>
    <row r="53" spans="1:17" x14ac:dyDescent="0.25">
      <c r="A53" t="s">
        <v>655</v>
      </c>
      <c r="B53" t="s">
        <v>746</v>
      </c>
      <c r="C53" t="s">
        <v>750</v>
      </c>
      <c r="D53" t="s">
        <v>749</v>
      </c>
      <c r="E53">
        <v>90.6</v>
      </c>
      <c r="H53">
        <v>1</v>
      </c>
      <c r="I53">
        <v>7.2910000000000004</v>
      </c>
      <c r="J53">
        <v>83.576999999999998</v>
      </c>
      <c r="K53">
        <v>7.2910000000000004</v>
      </c>
      <c r="L53" s="8">
        <v>2</v>
      </c>
      <c r="M53" s="8" t="s">
        <v>451</v>
      </c>
      <c r="N53" s="14" t="s">
        <v>452</v>
      </c>
      <c r="O53" s="1"/>
      <c r="Q53" s="4"/>
    </row>
    <row r="54" spans="1:17" x14ac:dyDescent="0.25">
      <c r="A54" t="s">
        <v>655</v>
      </c>
      <c r="B54" t="s">
        <v>746</v>
      </c>
      <c r="C54" t="s">
        <v>750</v>
      </c>
      <c r="D54" t="s">
        <v>749</v>
      </c>
      <c r="E54">
        <v>90.7</v>
      </c>
      <c r="H54">
        <v>1</v>
      </c>
      <c r="I54">
        <v>9.9649999999999999</v>
      </c>
      <c r="J54">
        <v>78.516000000000005</v>
      </c>
      <c r="K54">
        <v>7.657</v>
      </c>
      <c r="L54" s="8">
        <v>2</v>
      </c>
      <c r="M54" s="8" t="s">
        <v>451</v>
      </c>
      <c r="N54" s="14" t="s">
        <v>452</v>
      </c>
      <c r="O54" s="1"/>
      <c r="Q54" s="4"/>
    </row>
    <row r="55" spans="1:17" x14ac:dyDescent="0.25">
      <c r="A55" t="s">
        <v>655</v>
      </c>
      <c r="B55" t="s">
        <v>746</v>
      </c>
      <c r="C55" t="s">
        <v>750</v>
      </c>
      <c r="D55" t="s">
        <v>749</v>
      </c>
      <c r="E55">
        <v>90.8</v>
      </c>
      <c r="H55">
        <v>1</v>
      </c>
      <c r="I55">
        <v>9.9570000000000007</v>
      </c>
      <c r="J55">
        <v>75.238</v>
      </c>
      <c r="K55">
        <v>5.085</v>
      </c>
      <c r="L55" s="8">
        <v>2</v>
      </c>
      <c r="M55" s="8" t="s">
        <v>451</v>
      </c>
      <c r="N55" s="14" t="s">
        <v>452</v>
      </c>
      <c r="O55" s="1"/>
      <c r="Q55" s="4"/>
    </row>
    <row r="57" spans="1:17" x14ac:dyDescent="0.25">
      <c r="A57" s="16" t="s">
        <v>34</v>
      </c>
      <c r="B57" s="16" t="s">
        <v>163</v>
      </c>
      <c r="C57" s="16"/>
      <c r="D57" s="16" t="s">
        <v>749</v>
      </c>
      <c r="E57" s="21">
        <v>56.1</v>
      </c>
      <c r="F57" s="21" t="s">
        <v>768</v>
      </c>
      <c r="G57" s="21"/>
      <c r="H57" s="21">
        <v>1</v>
      </c>
      <c r="I57">
        <v>6.2859999999999996</v>
      </c>
      <c r="J57" s="21">
        <v>61.468000000000004</v>
      </c>
      <c r="K57" s="21">
        <v>4.2460000000000004</v>
      </c>
      <c r="L57" s="8">
        <v>1</v>
      </c>
      <c r="M57" s="8" t="s">
        <v>451</v>
      </c>
      <c r="N57" s="14" t="s">
        <v>452</v>
      </c>
      <c r="O57" s="1"/>
      <c r="Q57" s="4"/>
    </row>
    <row r="58" spans="1:17" x14ac:dyDescent="0.25">
      <c r="A58" t="s">
        <v>34</v>
      </c>
      <c r="B58" t="s">
        <v>163</v>
      </c>
      <c r="D58" t="s">
        <v>749</v>
      </c>
      <c r="E58" s="21">
        <v>56.2</v>
      </c>
      <c r="H58" s="21">
        <v>1</v>
      </c>
      <c r="I58">
        <v>4.3259999999999996</v>
      </c>
      <c r="J58" s="21">
        <v>55.555999999999997</v>
      </c>
      <c r="K58" s="21">
        <v>3.8610000000000002</v>
      </c>
      <c r="L58" s="8">
        <v>1</v>
      </c>
      <c r="M58" s="8" t="s">
        <v>451</v>
      </c>
      <c r="N58" s="14" t="s">
        <v>452</v>
      </c>
      <c r="O58" s="1"/>
      <c r="Q58" s="4"/>
    </row>
    <row r="59" spans="1:17" x14ac:dyDescent="0.25">
      <c r="A59" t="s">
        <v>34</v>
      </c>
      <c r="B59" t="s">
        <v>163</v>
      </c>
      <c r="D59" t="s">
        <v>749</v>
      </c>
      <c r="E59" s="21">
        <v>56.3</v>
      </c>
      <c r="H59" s="21">
        <v>1</v>
      </c>
      <c r="I59">
        <v>4.8849999999999998</v>
      </c>
      <c r="J59" s="21">
        <v>62.353000000000002</v>
      </c>
      <c r="K59" s="21">
        <v>3.8650000000000002</v>
      </c>
      <c r="L59" s="8">
        <v>1</v>
      </c>
      <c r="M59" s="8" t="s">
        <v>451</v>
      </c>
      <c r="N59" s="14" t="s">
        <v>452</v>
      </c>
      <c r="O59" s="1"/>
      <c r="Q59" s="4"/>
    </row>
    <row r="60" spans="1:17" x14ac:dyDescent="0.25">
      <c r="A60" s="16" t="s">
        <v>34</v>
      </c>
      <c r="B60" s="16" t="s">
        <v>163</v>
      </c>
      <c r="C60" s="16"/>
      <c r="D60" s="16" t="s">
        <v>749</v>
      </c>
      <c r="E60" s="21">
        <v>56.4</v>
      </c>
      <c r="H60" s="21">
        <v>1</v>
      </c>
      <c r="I60">
        <v>10.237</v>
      </c>
      <c r="J60" s="21">
        <v>57.207000000000001</v>
      </c>
      <c r="K60" s="21">
        <v>7.38</v>
      </c>
      <c r="L60" s="8">
        <v>1</v>
      </c>
      <c r="M60" s="8" t="s">
        <v>451</v>
      </c>
      <c r="N60" s="14" t="s">
        <v>452</v>
      </c>
      <c r="O60" s="1"/>
      <c r="Q60" s="4"/>
    </row>
    <row r="61" spans="1:17" x14ac:dyDescent="0.25">
      <c r="A61" s="16" t="s">
        <v>34</v>
      </c>
      <c r="B61" s="16" t="s">
        <v>163</v>
      </c>
      <c r="C61" s="16"/>
      <c r="D61" s="16" t="s">
        <v>749</v>
      </c>
      <c r="E61" s="21">
        <v>56.5</v>
      </c>
      <c r="H61" s="21">
        <v>1</v>
      </c>
      <c r="I61">
        <v>12.584</v>
      </c>
      <c r="J61" s="21">
        <v>67.484999999999999</v>
      </c>
      <c r="K61" s="21">
        <v>7.1390000000000002</v>
      </c>
      <c r="L61" s="8">
        <v>1</v>
      </c>
      <c r="M61" s="8" t="s">
        <v>451</v>
      </c>
      <c r="N61" s="14" t="s">
        <v>452</v>
      </c>
      <c r="O61" s="1"/>
      <c r="Q61" s="4"/>
    </row>
    <row r="62" spans="1:17" x14ac:dyDescent="0.25">
      <c r="A62" t="s">
        <v>34</v>
      </c>
      <c r="B62" t="s">
        <v>163</v>
      </c>
      <c r="D62" t="s">
        <v>749</v>
      </c>
      <c r="E62" s="21">
        <v>56.6</v>
      </c>
      <c r="H62" s="21">
        <v>1</v>
      </c>
      <c r="I62">
        <v>14.167999999999999</v>
      </c>
      <c r="J62" s="21">
        <v>60.856000000000002</v>
      </c>
      <c r="K62" s="21">
        <v>6.9610000000000003</v>
      </c>
      <c r="L62" s="8">
        <v>1</v>
      </c>
      <c r="M62" s="8" t="s">
        <v>451</v>
      </c>
      <c r="N62" s="14" t="s">
        <v>452</v>
      </c>
      <c r="O62" s="1"/>
      <c r="Q62" s="4"/>
    </row>
    <row r="63" spans="1:17" x14ac:dyDescent="0.25">
      <c r="A63" t="s">
        <v>34</v>
      </c>
      <c r="B63" t="s">
        <v>163</v>
      </c>
      <c r="D63" t="s">
        <v>749</v>
      </c>
      <c r="E63" s="21">
        <v>56.7</v>
      </c>
      <c r="H63" s="21">
        <v>1</v>
      </c>
      <c r="I63">
        <v>9.2629999999999999</v>
      </c>
      <c r="J63" s="21">
        <v>52.853000000000002</v>
      </c>
      <c r="K63" s="21">
        <v>7.3769999999999998</v>
      </c>
      <c r="L63" s="8">
        <v>1</v>
      </c>
      <c r="M63" s="8" t="s">
        <v>451</v>
      </c>
      <c r="N63" s="14" t="s">
        <v>452</v>
      </c>
      <c r="O63" s="1"/>
      <c r="Q6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Analysis</vt:lpstr>
      <vt:lpstr>removedVeins</vt:lpstr>
      <vt:lpstr>removedLowQuality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kira shaw</dc:creator>
  <cp:lastModifiedBy>kira shaw</cp:lastModifiedBy>
  <dcterms:created xsi:type="dcterms:W3CDTF">2019-01-15T09:26:23Z</dcterms:created>
  <dcterms:modified xsi:type="dcterms:W3CDTF">2019-07-31T08:48:25Z</dcterms:modified>
</cp:coreProperties>
</file>