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8520" firstSheet="2" activeTab="4"/>
  </bookViews>
  <sheets>
    <sheet name="Main" sheetId="5" r:id="rId1"/>
    <sheet name="Greenhouses area" sheetId="1" r:id="rId2"/>
    <sheet name="Tomato fresh consump. Almeria" sheetId="2" r:id="rId3"/>
    <sheet name="Tomato fresh consump. EUImports" sheetId="3" r:id="rId4"/>
    <sheet name="Harvest withdrawal vegetables" sheetId="4" r:id="rId5"/>
    <sheet name="Withdrawals destination" sheetId="6" r:id="rId6"/>
    <sheet name="Piezometric levels" sheetId="7" r:id="rId7"/>
    <sheet name="Price gap" sheetId="8" r:id="rId8"/>
  </sheets>
  <calcPr calcId="145621"/>
</workbook>
</file>

<file path=xl/calcChain.xml><?xml version="1.0" encoding="utf-8"?>
<calcChain xmlns="http://schemas.openxmlformats.org/spreadsheetml/2006/main">
  <c r="H31" i="4" l="1"/>
  <c r="H30" i="4"/>
  <c r="H27" i="4"/>
  <c r="H26" i="4"/>
  <c r="H23" i="4"/>
  <c r="H22" i="4"/>
  <c r="H19" i="4"/>
  <c r="H18" i="4"/>
  <c r="H15" i="4"/>
  <c r="H14" i="4"/>
  <c r="H10" i="4"/>
  <c r="H11" i="4"/>
  <c r="J16" i="3" l="1"/>
  <c r="G31" i="8" l="1"/>
  <c r="F31" i="8"/>
  <c r="E31" i="8"/>
  <c r="D31" i="8"/>
  <c r="C31" i="8"/>
  <c r="C26" i="8"/>
  <c r="D26" i="8"/>
  <c r="E26" i="8"/>
  <c r="F26" i="8"/>
  <c r="G26" i="8"/>
  <c r="G17" i="2" l="1"/>
  <c r="C39" i="2"/>
  <c r="D39" i="2"/>
  <c r="E39" i="2"/>
  <c r="F39" i="2"/>
  <c r="H39" i="2"/>
  <c r="I39" i="2"/>
  <c r="J39" i="2"/>
  <c r="K39" i="2"/>
  <c r="C28" i="2"/>
  <c r="D28" i="2"/>
  <c r="E28" i="2"/>
  <c r="F28" i="2"/>
  <c r="H28" i="2"/>
  <c r="I28" i="2"/>
  <c r="J28" i="2"/>
  <c r="K28" i="2"/>
  <c r="I17" i="2"/>
  <c r="K16" i="2"/>
  <c r="K17" i="2"/>
  <c r="K15" i="2"/>
  <c r="K14" i="2"/>
  <c r="K13" i="2"/>
  <c r="K12" i="2"/>
  <c r="K11" i="2"/>
  <c r="K10" i="2"/>
  <c r="K9" i="2"/>
  <c r="D11" i="8" l="1"/>
  <c r="E11" i="8"/>
  <c r="F11" i="8"/>
  <c r="G11" i="8"/>
  <c r="D12" i="8"/>
  <c r="E12" i="8"/>
  <c r="F12" i="8"/>
  <c r="G12" i="8"/>
  <c r="C12" i="8"/>
  <c r="C11" i="8"/>
  <c r="D16" i="8"/>
  <c r="E16" i="8"/>
  <c r="F16" i="8"/>
  <c r="G16" i="8"/>
  <c r="D17" i="8"/>
  <c r="E17" i="8"/>
  <c r="F17" i="8"/>
  <c r="G17" i="8"/>
  <c r="C17" i="8"/>
  <c r="C16" i="8"/>
  <c r="D21" i="8" l="1"/>
  <c r="E21" i="8"/>
  <c r="F21" i="8"/>
  <c r="G21" i="8"/>
  <c r="C21" i="8"/>
  <c r="D22" i="8"/>
  <c r="E22" i="8"/>
  <c r="F22" i="8"/>
  <c r="G22" i="8"/>
  <c r="C22" i="8"/>
  <c r="I10" i="3" l="1"/>
  <c r="J10" i="3"/>
  <c r="I11" i="3"/>
  <c r="J11" i="3"/>
  <c r="I12" i="3"/>
  <c r="J12" i="3"/>
  <c r="I13" i="3"/>
  <c r="J13" i="3"/>
  <c r="I14" i="3"/>
  <c r="J14" i="3"/>
  <c r="I15" i="3"/>
  <c r="J15" i="3"/>
  <c r="I16" i="3"/>
  <c r="J9" i="3"/>
  <c r="I9" i="3"/>
  <c r="F10" i="3"/>
  <c r="G10" i="3"/>
  <c r="F11" i="3"/>
  <c r="G11" i="3"/>
  <c r="F12" i="3"/>
  <c r="G12" i="3"/>
  <c r="F13" i="3"/>
  <c r="G13" i="3"/>
  <c r="F14" i="3"/>
  <c r="G14" i="3"/>
  <c r="F15" i="3"/>
  <c r="G15" i="3"/>
  <c r="F16" i="3"/>
  <c r="G16" i="3"/>
  <c r="G9" i="3"/>
  <c r="F9" i="3"/>
  <c r="D32" i="2"/>
  <c r="E32" i="2"/>
  <c r="F32" i="2"/>
  <c r="H32" i="2"/>
  <c r="J32" i="2"/>
  <c r="D33" i="2"/>
  <c r="E33" i="2"/>
  <c r="F33" i="2"/>
  <c r="H33" i="2"/>
  <c r="J33" i="2"/>
  <c r="D34" i="2"/>
  <c r="E34" i="2"/>
  <c r="F34" i="2"/>
  <c r="H34" i="2"/>
  <c r="J34" i="2"/>
  <c r="D35" i="2"/>
  <c r="E35" i="2"/>
  <c r="F35" i="2"/>
  <c r="H35" i="2"/>
  <c r="J35" i="2"/>
  <c r="D36" i="2"/>
  <c r="E36" i="2"/>
  <c r="F36" i="2"/>
  <c r="H36" i="2"/>
  <c r="J36" i="2"/>
  <c r="D37" i="2"/>
  <c r="E37" i="2"/>
  <c r="F37" i="2"/>
  <c r="H37" i="2"/>
  <c r="J37" i="2"/>
  <c r="D38" i="2"/>
  <c r="E38" i="2"/>
  <c r="F38" i="2"/>
  <c r="H38" i="2"/>
  <c r="J38" i="2"/>
  <c r="C33" i="2"/>
  <c r="C34" i="2"/>
  <c r="C35" i="2"/>
  <c r="C36" i="2"/>
  <c r="C37" i="2"/>
  <c r="C38" i="2"/>
  <c r="C32" i="2"/>
  <c r="C21" i="2"/>
  <c r="D21" i="2"/>
  <c r="E21" i="2"/>
  <c r="F21" i="2"/>
  <c r="H21" i="2"/>
  <c r="J21" i="2"/>
  <c r="C22" i="2"/>
  <c r="D22" i="2"/>
  <c r="E22" i="2"/>
  <c r="F22" i="2"/>
  <c r="H22" i="2"/>
  <c r="J22" i="2"/>
  <c r="C23" i="2"/>
  <c r="D23" i="2"/>
  <c r="E23" i="2"/>
  <c r="F23" i="2"/>
  <c r="H23" i="2"/>
  <c r="J23" i="2"/>
  <c r="C24" i="2"/>
  <c r="D24" i="2"/>
  <c r="E24" i="2"/>
  <c r="F24" i="2"/>
  <c r="H24" i="2"/>
  <c r="J24" i="2"/>
  <c r="C25" i="2"/>
  <c r="D25" i="2"/>
  <c r="E25" i="2"/>
  <c r="F25" i="2"/>
  <c r="H25" i="2"/>
  <c r="J25" i="2"/>
  <c r="C26" i="2"/>
  <c r="D26" i="2"/>
  <c r="E26" i="2"/>
  <c r="F26" i="2"/>
  <c r="H26" i="2"/>
  <c r="J26" i="2"/>
  <c r="J27" i="2"/>
  <c r="C27" i="2"/>
  <c r="D27" i="2"/>
  <c r="H27" i="2"/>
  <c r="E27" i="2"/>
  <c r="F27" i="2"/>
  <c r="E13" i="6" l="1"/>
  <c r="D13" i="6"/>
  <c r="C13" i="6"/>
  <c r="F9" i="6"/>
  <c r="F8" i="6"/>
  <c r="F13" i="6" s="1"/>
  <c r="G17" i="4"/>
  <c r="F17" i="4"/>
  <c r="E17" i="4"/>
  <c r="D17" i="4"/>
  <c r="C17" i="4"/>
  <c r="G13" i="4"/>
  <c r="F13" i="4"/>
  <c r="E13" i="4"/>
  <c r="D13" i="4"/>
  <c r="C13" i="4"/>
  <c r="G11" i="4"/>
  <c r="F11" i="4"/>
  <c r="E11" i="4"/>
  <c r="D11" i="4"/>
  <c r="C11" i="4"/>
  <c r="G10" i="4"/>
  <c r="F10" i="4"/>
  <c r="E10" i="4"/>
  <c r="D10" i="4"/>
  <c r="C10" i="4"/>
  <c r="I16" i="2"/>
  <c r="G16" i="2"/>
  <c r="I15" i="2"/>
  <c r="G15" i="2"/>
  <c r="I14" i="2"/>
  <c r="G14" i="2"/>
  <c r="I13" i="2"/>
  <c r="G13" i="2"/>
  <c r="I12" i="2"/>
  <c r="G12" i="2"/>
  <c r="I11" i="2"/>
  <c r="G11" i="2"/>
  <c r="I10" i="2"/>
  <c r="G10" i="2"/>
  <c r="I9" i="2"/>
  <c r="G9" i="2"/>
  <c r="G39" i="2" l="1"/>
  <c r="G28" i="2"/>
  <c r="G23" i="2"/>
  <c r="G34" i="2"/>
  <c r="K25" i="2"/>
  <c r="K36" i="2"/>
  <c r="I34" i="2"/>
  <c r="I23" i="2"/>
  <c r="I38" i="2"/>
  <c r="I27" i="2"/>
  <c r="G21" i="2"/>
  <c r="G32" i="2"/>
  <c r="I33" i="2"/>
  <c r="I22" i="2"/>
  <c r="K23" i="2"/>
  <c r="K34" i="2"/>
  <c r="G25" i="2"/>
  <c r="G36" i="2"/>
  <c r="I37" i="2"/>
  <c r="I26" i="2"/>
  <c r="K27" i="2"/>
  <c r="K38" i="2"/>
  <c r="K21" i="2"/>
  <c r="K32" i="2"/>
  <c r="I35" i="2"/>
  <c r="I24" i="2"/>
  <c r="G27" i="2"/>
  <c r="G38" i="2"/>
  <c r="G22" i="2"/>
  <c r="G33" i="2"/>
  <c r="K24" i="2"/>
  <c r="K35" i="2"/>
  <c r="G26" i="2"/>
  <c r="G37" i="2"/>
  <c r="I32" i="2"/>
  <c r="I21" i="2"/>
  <c r="K22" i="2"/>
  <c r="K33" i="2"/>
  <c r="G24" i="2"/>
  <c r="G35" i="2"/>
  <c r="I36" i="2"/>
  <c r="I25" i="2"/>
  <c r="K26" i="2"/>
  <c r="K37" i="2"/>
</calcChain>
</file>

<file path=xl/sharedStrings.xml><?xml version="1.0" encoding="utf-8"?>
<sst xmlns="http://schemas.openxmlformats.org/spreadsheetml/2006/main" count="167" uniqueCount="105">
  <si>
    <t>Evolution of the surface area of greenhouses in the province of Almería</t>
  </si>
  <si>
    <t>Year</t>
  </si>
  <si>
    <t>Area (ha)</t>
  </si>
  <si>
    <t>1. Mota, J. F., Peñas, J., Castro, H., Cabello, J. &amp; Guirado, J. S. Agricultural development vs biodiversity conservation: The Mediterranean semiarid vegetation in El Ejido (Almería, southeastern Spain). Biodivers. Conserv. 5, 1597–1617 (1996).</t>
  </si>
  <si>
    <t>Price (€/kg)</t>
  </si>
  <si>
    <t>% of Production</t>
  </si>
  <si>
    <t>Mill. €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</si>
  <si>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</si>
  <si>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</si>
  <si>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</si>
  <si>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</si>
  <si>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</si>
  <si>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</si>
  <si>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</si>
  <si>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</si>
  <si>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Season</t>
  </si>
  <si>
    <t>tonnes</t>
  </si>
  <si>
    <t>Production</t>
  </si>
  <si>
    <t>Production an Export data for tomato for fresh consumption in Almería (Spain)</t>
  </si>
  <si>
    <t>2. Junta de Andalucía. Consejería de Agricultura Pesca y Desarrollo Rural. Cartografía de invernaderos en Almería, Granada y Málaga. (Junta de Andalucia, 2018). Available at: https://www.juntadeandalucia.es/export/drupaljda/estudios_informes/16/12/Cartografia invernaderos en el litoral de Andalucía Oriental_v161201.pdf</t>
  </si>
  <si>
    <t>Morocco</t>
  </si>
  <si>
    <t>Imports (tonnes)</t>
  </si>
  <si>
    <t xml:space="preserve">Source: Production data from FEGA. Fondo Español de garantía Agraria. Ministerio de Agricultura, Pesca y Alimentación. Informe de retiradas en el marco de los programas operativos de las OPFH (2020). Available at: https://www.fega.es/datos-campanas-clasificadas-por-sector/sector/Frutas y Hortalizas. </t>
  </si>
  <si>
    <t>Tomato</t>
  </si>
  <si>
    <t>Pepper</t>
  </si>
  <si>
    <t>Zucchini</t>
  </si>
  <si>
    <t>Cucumber</t>
  </si>
  <si>
    <t>Eggplant</t>
  </si>
  <si>
    <t>Crop</t>
  </si>
  <si>
    <t>Harvest withdrawal (tonnes)</t>
  </si>
  <si>
    <t xml:space="preserve">References: </t>
  </si>
  <si>
    <t>1. Garcia-Caparros, P., Contreras, J. I., Baeza, R., Segura, M. L. &amp; Lao, M. T. Integral management of irrigation water in intensive horticultural systems of Almería. Sustain. 9, 1–21 (2017).</t>
  </si>
  <si>
    <r>
      <t>Water use efficiency (m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/t) and water consumption (m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</si>
  <si>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2. Cabello, A. &amp; Cabrera, R. Consideraciones sobre la fertilización nitrogenada en los cultivos hortícolas de invernadero de Almería. (Junta de Andalucia. Consejeria de Agricultura y Pesca, 2003).</t>
  </si>
  <si>
    <t>3. Reche, J. Agua, Suelo y Fertirrigación de Cultivos Hortícolas en Invernadero. (Ministerio de Medio Ambiente y Medio Rural y Marino, 2008).</t>
  </si>
  <si>
    <t>Nitrogen use: coefficients (kg/t) and fertilization (tonnes)</t>
  </si>
  <si>
    <t>Phosphorus use:  coefficients (kg/t) and fertilization (tonnes)</t>
  </si>
  <si>
    <t>Potasium use:  coefficients (kg/t) and fertilization (tonnes)</t>
  </si>
  <si>
    <r>
      <t>Technical coefficients: Water efficiency (Garcia-Caparrós et al., 2017)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; Fertilizer inputs: Nitrogen (Cabello and Cabrera, 2003)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, Phosphorus and Potasium (Reche, 2008)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;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emissions (Clune et al., 2017)</t>
    </r>
    <r>
      <rPr>
        <vertAlign val="superscript"/>
        <sz val="11"/>
        <color theme="1"/>
        <rFont val="Calibri"/>
        <family val="2"/>
        <scheme val="minor"/>
      </rPr>
      <t>4</t>
    </r>
  </si>
  <si>
    <t>4. Clune, S., Crossin, E. &amp; Verghese, K. Systematic review of greenhouse gas emissions for different fresh food categories. J. Clean. Prod. 140, 766–783 (2017).</t>
  </si>
  <si>
    <r>
      <t>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emissions:  coefficients (kg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-eq/kg produce) and emissions (tonnes)</t>
    </r>
  </si>
  <si>
    <t>TITLE</t>
  </si>
  <si>
    <t>AUTHORS</t>
  </si>
  <si>
    <t>DATASHEETS</t>
  </si>
  <si>
    <t>Greenhouse area</t>
  </si>
  <si>
    <t>Tomato for fresh consumption. Data for Almería, Spain</t>
  </si>
  <si>
    <t>TOTAL</t>
  </si>
  <si>
    <t>Animal feed</t>
  </si>
  <si>
    <t>Free distribution</t>
  </si>
  <si>
    <t>Withdrawals destination in Spain (tonnes)</t>
  </si>
  <si>
    <t>Total</t>
  </si>
  <si>
    <t>Other</t>
  </si>
  <si>
    <t>Aubergine</t>
  </si>
  <si>
    <t>Harvest withdrawals and impact</t>
  </si>
  <si>
    <t>Withdrawals destination</t>
  </si>
  <si>
    <t>Piezometric level trends</t>
  </si>
  <si>
    <t>Piezometric level trends for main groundwater bodies in the area (Níjar and Campo de Dalías). Meters above sea level</t>
  </si>
  <si>
    <t>-</t>
  </si>
  <si>
    <t>Níjar</t>
  </si>
  <si>
    <t>Campo de Dalías</t>
  </si>
  <si>
    <t>Source: IGME &amp; Junta de Andalucía. Atlas Hidrogeológico de Andalucía. (Junta de Andalucía, 1998). Available at: http://aguas.igme.es/igme/publica/libros1_HR/libro110/Pdf/lib110/in_33.pdf</t>
  </si>
  <si>
    <t>Variation Rates (%)</t>
  </si>
  <si>
    <t>Absolute variations</t>
  </si>
  <si>
    <t>Variation rates</t>
  </si>
  <si>
    <t>Food Price Index in Origin and Destination</t>
  </si>
  <si>
    <t>Source: Coordinadora de Organizaciones de Agricultores y Ganaderos (COAG). Available at: http://coag.coag.org/post/ipod-indice-de-precios-en-origen-y-destino-de-los-alimentos-122677</t>
  </si>
  <si>
    <t>March 2020</t>
  </si>
  <si>
    <t>Difference (%)</t>
  </si>
  <si>
    <t>Febraury 2020</t>
  </si>
  <si>
    <t>January 2020</t>
  </si>
  <si>
    <t>Ratio (A)/(B)</t>
  </si>
  <si>
    <t>Origin (€/kg) (A)</t>
  </si>
  <si>
    <t>Destination (€/kg) (B)</t>
  </si>
  <si>
    <t>2018/19</t>
  </si>
  <si>
    <r>
      <t>Sources: Agencia de Medio Ambiente, Junta de Andalucía (in Mota et al. 1996)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for 1969-1993; Junta de Andalucía. Consejería de Agricultura Pesca y Desarrollo Rural.Cartografía de invernaderos en Almería, Granada y Málaga. (Junta de Andalucia, 2018)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for 2001-2018. CAJAMAR</t>
    </r>
    <r>
      <rPr>
        <vertAlign val="superscript"/>
        <sz val="11"/>
        <color theme="1"/>
        <rFont val="Calibri"/>
        <family val="2"/>
        <scheme val="minor"/>
      </rPr>
      <t>3</t>
    </r>
  </si>
  <si>
    <t>References</t>
  </si>
  <si>
    <t>3. Cajamar. Análisis de la campaña hortofrutícola 2018/2019. (2020). Available at: https://www.cajamar.es/es/agroalimentario/innovacion/agroanalisis/noticias/analisis-de-la-campana-hortofruticola-2018-2019/</t>
  </si>
  <si>
    <r>
      <t>Source: Junta de Andalucía. Observatorio de precios y mercados [Price and Market Observatory]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. CAJAMAR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.</t>
    </r>
  </si>
  <si>
    <t>2. Cajamar. Análisis de la campaña hortofrutícola 2018/2019. (2020). Available at: https://www.cajamar.es/es/agroalimentario/innovacion/agroanalisis/noticias/analisis-de-la-campana-hortofruticola-2018-2019/</t>
  </si>
  <si>
    <t>1. Junta de Andalucía. Observatorio de precios y mercados [Price and Market Observatory]. (2020). Available at: https://www.juntadeandalucia.es/agriculturaypesca/observatorio/servlet/FrontController?ec=default. (Accessed: 2nd February 2020)</t>
  </si>
  <si>
    <r>
      <t>Price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(€/kg)</t>
    </r>
  </si>
  <si>
    <r>
      <t>Exportations</t>
    </r>
    <r>
      <rPr>
        <vertAlign val="superscript"/>
        <sz val="11"/>
        <color theme="1"/>
        <rFont val="Calibri"/>
        <family val="2"/>
        <scheme val="minor"/>
      </rPr>
      <t>2</t>
    </r>
  </si>
  <si>
    <t>Harvest withdrawal of vegetables for fresh consumption in Andalucia (Spain) and environmental impacts</t>
  </si>
  <si>
    <t>EU-total</t>
  </si>
  <si>
    <t>EU Importantion of tomato for fresh consumption</t>
  </si>
  <si>
    <t>EU Imports of tomato for fresh consumption</t>
  </si>
  <si>
    <t>Price gap between farm gate and consumers</t>
  </si>
  <si>
    <t xml:space="preserve">Source: Production data from FEGA. Fondo Español de garantía Agraria. Ministerio de Agricultura, Pesca y Alimentación. </t>
  </si>
  <si>
    <t>Informe de retiradas en el marco de los programas operativos de las OPFH (2020). Available at: https://www.fega.es/datos-campanas-clasificadas-por-sector/sector/Frutas%20y%20Hortalizas</t>
  </si>
  <si>
    <t>April 2020</t>
  </si>
  <si>
    <t>May 2020</t>
  </si>
  <si>
    <t>NATURE FOOD</t>
  </si>
  <si>
    <t>Discarded food and resource depletion</t>
  </si>
  <si>
    <r>
      <t>Jaime Martínez-Valderrama</t>
    </r>
    <r>
      <rPr>
        <vertAlign val="superscript"/>
        <sz val="11"/>
        <color theme="1"/>
        <rFont val="Calibri"/>
        <family val="2"/>
        <scheme val="minor"/>
      </rPr>
      <t>a</t>
    </r>
  </si>
  <si>
    <r>
      <t>Emilio Guirado</t>
    </r>
    <r>
      <rPr>
        <vertAlign val="superscript"/>
        <sz val="11"/>
        <color theme="1"/>
        <rFont val="Calibri"/>
        <family val="2"/>
        <scheme val="minor"/>
      </rPr>
      <t>a</t>
    </r>
  </si>
  <si>
    <r>
      <t>Fernando T. Maestre</t>
    </r>
    <r>
      <rPr>
        <vertAlign val="superscript"/>
        <sz val="11"/>
        <color theme="1"/>
        <rFont val="Calibri"/>
        <family val="2"/>
        <scheme val="minor"/>
      </rPr>
      <t>a,b</t>
    </r>
  </si>
  <si>
    <r>
      <rPr>
        <vertAlign val="superscript"/>
        <sz val="11"/>
        <color rgb="FF008000"/>
        <rFont val="Calibri"/>
        <family val="2"/>
        <scheme val="minor"/>
      </rPr>
      <t>a</t>
    </r>
    <r>
      <rPr>
        <sz val="11"/>
        <color rgb="FF008000"/>
        <rFont val="Calibri"/>
        <family val="2"/>
        <scheme val="minor"/>
      </rPr>
      <t>Instituto Multidisciplinar para el Estudio del Medio “Ramon Margalef”, Universidad de Alicante</t>
    </r>
  </si>
  <si>
    <r>
      <rPr>
        <vertAlign val="superscript"/>
        <sz val="11"/>
        <color rgb="FF008000"/>
        <rFont val="Calibri"/>
        <family val="2"/>
        <scheme val="minor"/>
      </rPr>
      <t>b</t>
    </r>
    <r>
      <rPr>
        <sz val="11"/>
        <color rgb="FF008000"/>
        <rFont val="Calibri"/>
        <family val="2"/>
        <scheme val="minor"/>
      </rPr>
      <t>Departamento de Ecología, Universidad de Alicante</t>
    </r>
  </si>
  <si>
    <r>
      <t>Area (ha)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</si>
  <si>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Production (t)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</si>
  <si>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Value of production (Mill. €)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</si>
  <si>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Yield (kg/m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</si>
  <si>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DOI</t>
  </si>
  <si>
    <t>10.1038/s43016-020-00186-5</t>
  </si>
  <si>
    <t>Source: The Tomato Market in the EU: Vol. 3a: Trade for fresh products (European Commission, 2019). Available at:  https://ec.europa.eu/transparency/regexpert/index.cfm?do=groupDetail.groupMeetingDoc&amp;docid=35415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</si>
</sst>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.0%"/>
    <numFmt numFmtId="165" formatCode="0.0"/>
    <numFmt numFmtId="166" formatCode="_-* #,##0\ _€_-;\-* #,##0\ _€_-;_-* &quot;-&quot;??\ _€_-;_-@_-"/>
    <numFmt numFmtId="167" formatCode="_-* #,##0.0\ _€_-;\-* #,##0.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7"/>
      <color rgb="FF202124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b/>
      <vertAlign val="superscript"/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008000"/>
      <name val="Calibri"/>
      <family val="2"/>
      <scheme val="minor"/>
    </font>
    <font>
      <vertAlign val="superscript"/>
      <sz val="11"/>
      <color rgb="FF008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2" fontId="0" fillId="0" borderId="0" xfId="0" applyNumberFormat="1"/>
    <xf numFmtId="164" fontId="0" fillId="0" borderId="0" xfId="1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/>
    <xf numFmtId="0" fontId="0" fillId="0" borderId="0" xfId="0" applyFont="1"/>
    <xf numFmtId="0" fontId="0" fillId="0" borderId="4" xfId="0" applyBorder="1"/>
    <xf numFmtId="2" fontId="0" fillId="0" borderId="4" xfId="0" applyNumberFormat="1" applyBorder="1"/>
    <xf numFmtId="164" fontId="0" fillId="0" borderId="4" xfId="1" applyNumberFormat="1" applyFont="1" applyBorder="1"/>
    <xf numFmtId="165" fontId="0" fillId="0" borderId="0" xfId="0" applyNumberFormat="1"/>
    <xf numFmtId="0" fontId="0" fillId="0" borderId="0" xfId="0" applyBorder="1" applyAlignment="1">
      <alignment horizontal="right"/>
    </xf>
    <xf numFmtId="0" fontId="5" fillId="0" borderId="0" xfId="0" applyFont="1"/>
    <xf numFmtId="0" fontId="6" fillId="0" borderId="0" xfId="0" applyFont="1"/>
    <xf numFmtId="0" fontId="7" fillId="0" borderId="0" xfId="2"/>
    <xf numFmtId="164" fontId="0" fillId="0" borderId="5" xfId="1" applyNumberFormat="1" applyFont="1" applyBorder="1"/>
    <xf numFmtId="0" fontId="0" fillId="0" borderId="0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164" fontId="0" fillId="0" borderId="8" xfId="1" applyNumberFormat="1" applyFont="1" applyBorder="1"/>
    <xf numFmtId="164" fontId="0" fillId="0" borderId="7" xfId="1" applyNumberFormat="1" applyFont="1" applyBorder="1"/>
    <xf numFmtId="0" fontId="0" fillId="3" borderId="0" xfId="0" applyFill="1"/>
    <xf numFmtId="0" fontId="0" fillId="0" borderId="0" xfId="0" applyFill="1"/>
    <xf numFmtId="9" fontId="0" fillId="0" borderId="0" xfId="1" applyFont="1"/>
    <xf numFmtId="2" fontId="0" fillId="0" borderId="0" xfId="0" applyNumberFormat="1" applyBorder="1"/>
    <xf numFmtId="164" fontId="0" fillId="0" borderId="0" xfId="1" applyNumberFormat="1" applyFont="1" applyBorder="1"/>
    <xf numFmtId="0" fontId="8" fillId="0" borderId="0" xfId="0" applyFont="1"/>
    <xf numFmtId="166" fontId="0" fillId="0" borderId="0" xfId="3" applyNumberFormat="1" applyFont="1"/>
    <xf numFmtId="166" fontId="0" fillId="0" borderId="4" xfId="3" applyNumberFormat="1" applyFont="1" applyBorder="1"/>
    <xf numFmtId="43" fontId="0" fillId="0" borderId="0" xfId="0" applyNumberFormat="1"/>
    <xf numFmtId="166" fontId="0" fillId="0" borderId="0" xfId="3" applyNumberFormat="1" applyFont="1" applyBorder="1"/>
    <xf numFmtId="166" fontId="0" fillId="0" borderId="4" xfId="3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5" xfId="0" applyNumberFormat="1" applyBorder="1"/>
    <xf numFmtId="164" fontId="0" fillId="0" borderId="5" xfId="1" applyNumberFormat="1" applyFont="1" applyBorder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164" fontId="0" fillId="0" borderId="4" xfId="1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167" fontId="0" fillId="0" borderId="0" xfId="3" applyNumberFormat="1" applyFont="1"/>
    <xf numFmtId="167" fontId="2" fillId="0" borderId="0" xfId="3" applyNumberFormat="1" applyFont="1"/>
    <xf numFmtId="0" fontId="2" fillId="4" borderId="0" xfId="0" applyFont="1" applyFill="1"/>
    <xf numFmtId="49" fontId="0" fillId="0" borderId="0" xfId="0" applyNumberForma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2" fillId="6" borderId="0" xfId="0" applyFont="1" applyFill="1"/>
    <xf numFmtId="43" fontId="0" fillId="0" borderId="0" xfId="3" applyFont="1"/>
    <xf numFmtId="0" fontId="0" fillId="4" borderId="0" xfId="0" applyFill="1" applyBorder="1" applyAlignment="1"/>
    <xf numFmtId="0" fontId="0" fillId="4" borderId="0" xfId="0" applyFont="1" applyFill="1" applyBorder="1" applyAlignment="1"/>
    <xf numFmtId="43" fontId="0" fillId="0" borderId="0" xfId="3" applyFont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0" xfId="0" applyFont="1" applyFill="1" applyBorder="1" applyAlignment="1">
      <alignment horizontal="center" wrapText="1"/>
    </xf>
    <xf numFmtId="0" fontId="0" fillId="5" borderId="0" xfId="0" applyFill="1" applyAlignment="1">
      <alignment horizontal="center"/>
    </xf>
  </cellXfs>
  <cellStyles count="4">
    <cellStyle name="Hipervínculo" xfId="2" builtinId="8"/>
    <cellStyle name="Millares" xfId="3" builtinId="3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C2:D21"/>
  <sheetViews>
    <sheetView showGridLines="0" workbookViewId="0">
      <selection activeCell="D18" sqref="D18"/>
    </sheetView>
  </sheetViews>
  <sheetFormatPr baseColWidth="10" defaultRowHeight="15" x14ac:dyDescent="0.25"/>
  <cols>
    <col min="3" max="3" width="12.7109375" bestFit="1" customWidth="1"/>
  </cols>
  <sheetData>
    <row r="2" spans="3:4" ht="36" x14ac:dyDescent="0.55000000000000004">
      <c r="C2" s="54" t="s">
        <v>91</v>
      </c>
    </row>
    <row r="3" spans="3:4" ht="21.75" x14ac:dyDescent="0.3">
      <c r="D3" s="15"/>
    </row>
    <row r="4" spans="3:4" ht="28.5" x14ac:dyDescent="0.45">
      <c r="C4" s="55" t="s">
        <v>41</v>
      </c>
      <c r="D4" s="14" t="s">
        <v>92</v>
      </c>
    </row>
    <row r="5" spans="3:4" x14ac:dyDescent="0.25">
      <c r="C5" s="55" t="s">
        <v>102</v>
      </c>
      <c r="D5" t="s">
        <v>103</v>
      </c>
    </row>
    <row r="6" spans="3:4" x14ac:dyDescent="0.25">
      <c r="C6" s="55"/>
    </row>
    <row r="7" spans="3:4" ht="17.25" x14ac:dyDescent="0.25">
      <c r="C7" s="55" t="s">
        <v>42</v>
      </c>
      <c r="D7" t="s">
        <v>93</v>
      </c>
    </row>
    <row r="8" spans="3:4" ht="17.25" x14ac:dyDescent="0.25">
      <c r="C8" s="55"/>
      <c r="D8" t="s">
        <v>94</v>
      </c>
    </row>
    <row r="9" spans="3:4" ht="17.25" x14ac:dyDescent="0.25">
      <c r="C9" s="55"/>
      <c r="D9" t="s">
        <v>95</v>
      </c>
    </row>
    <row r="10" spans="3:4" x14ac:dyDescent="0.25">
      <c r="C10" s="55"/>
    </row>
    <row r="11" spans="3:4" ht="17.25" x14ac:dyDescent="0.25">
      <c r="C11" s="55"/>
      <c r="D11" s="56" t="s">
        <v>96</v>
      </c>
    </row>
    <row r="12" spans="3:4" ht="17.25" x14ac:dyDescent="0.25">
      <c r="C12" s="55"/>
      <c r="D12" s="56" t="s">
        <v>97</v>
      </c>
    </row>
    <row r="13" spans="3:4" x14ac:dyDescent="0.25">
      <c r="C13" s="55"/>
    </row>
    <row r="14" spans="3:4" x14ac:dyDescent="0.25">
      <c r="C14" s="55" t="s">
        <v>43</v>
      </c>
    </row>
    <row r="15" spans="3:4" x14ac:dyDescent="0.25">
      <c r="D15" s="16" t="s">
        <v>44</v>
      </c>
    </row>
    <row r="16" spans="3:4" x14ac:dyDescent="0.25">
      <c r="D16" s="16" t="s">
        <v>45</v>
      </c>
    </row>
    <row r="17" spans="4:4" x14ac:dyDescent="0.25">
      <c r="D17" s="16" t="s">
        <v>85</v>
      </c>
    </row>
    <row r="18" spans="4:4" x14ac:dyDescent="0.25">
      <c r="D18" s="16" t="s">
        <v>53</v>
      </c>
    </row>
    <row r="19" spans="4:4" x14ac:dyDescent="0.25">
      <c r="D19" s="16" t="s">
        <v>54</v>
      </c>
    </row>
    <row r="20" spans="4:4" x14ac:dyDescent="0.25">
      <c r="D20" s="16" t="s">
        <v>55</v>
      </c>
    </row>
    <row r="21" spans="4:4" x14ac:dyDescent="0.25">
      <c r="D21" s="16" t="s">
        <v>86</v>
      </c>
    </row>
  </sheetData>
  <hyperlinks>
    <hyperlink ref="D15" location="'Greenhouses area'!A1" display="Greenhouse area"/>
    <hyperlink ref="D16" location="'Tomato fresh consump. Almeria'!A1" display="Tomato for fresh consumption. Data for Almería, Spain"/>
    <hyperlink ref="D17" location="'Tomato fresh consump. Imports'!A1" display="UE Imports of tomato for fresh consumption"/>
    <hyperlink ref="D18" location="'Harvest withdrawal vegetables'!A1" display="Harvest withdrawals and impact"/>
    <hyperlink ref="D19" location="'Withdrawals destination'!A1" display="Withdrawals destination"/>
    <hyperlink ref="D20" location="'Piezometric levels'!A1" display="Piezometric level trends"/>
    <hyperlink ref="D21" location="'Price gap'!A1" display="Price gap between farm gate and consumers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29"/>
  <sheetViews>
    <sheetView topLeftCell="B4" workbookViewId="0">
      <selection activeCell="B29" sqref="B29"/>
    </sheetView>
  </sheetViews>
  <sheetFormatPr baseColWidth="10" defaultRowHeight="15" x14ac:dyDescent="0.25"/>
  <cols>
    <col min="2" max="2" width="11.42578125" customWidth="1"/>
  </cols>
  <sheetData>
    <row r="3" spans="2:4" x14ac:dyDescent="0.25">
      <c r="B3" s="1" t="s">
        <v>0</v>
      </c>
    </row>
    <row r="4" spans="2:4" ht="17.25" x14ac:dyDescent="0.25">
      <c r="B4" s="7" t="s">
        <v>74</v>
      </c>
    </row>
    <row r="6" spans="2:4" x14ac:dyDescent="0.25">
      <c r="B6" s="1" t="s">
        <v>1</v>
      </c>
      <c r="C6" s="1" t="s">
        <v>2</v>
      </c>
      <c r="D6" s="33"/>
    </row>
    <row r="7" spans="2:4" x14ac:dyDescent="0.25">
      <c r="B7">
        <v>1969</v>
      </c>
      <c r="C7">
        <v>30</v>
      </c>
    </row>
    <row r="8" spans="2:4" x14ac:dyDescent="0.25">
      <c r="B8">
        <v>1971</v>
      </c>
      <c r="C8">
        <v>1114</v>
      </c>
    </row>
    <row r="9" spans="2:4" x14ac:dyDescent="0.25">
      <c r="B9">
        <v>1976</v>
      </c>
      <c r="C9">
        <v>3440</v>
      </c>
    </row>
    <row r="10" spans="2:4" x14ac:dyDescent="0.25">
      <c r="B10">
        <v>1979</v>
      </c>
      <c r="C10">
        <v>5864</v>
      </c>
    </row>
    <row r="11" spans="2:4" x14ac:dyDescent="0.25">
      <c r="B11">
        <v>1984</v>
      </c>
      <c r="C11">
        <v>10000</v>
      </c>
    </row>
    <row r="12" spans="2:4" x14ac:dyDescent="0.25">
      <c r="B12">
        <v>1987</v>
      </c>
      <c r="C12">
        <v>11600</v>
      </c>
    </row>
    <row r="13" spans="2:4" x14ac:dyDescent="0.25">
      <c r="B13">
        <v>1991</v>
      </c>
      <c r="C13">
        <v>14400</v>
      </c>
    </row>
    <row r="14" spans="2:4" x14ac:dyDescent="0.25">
      <c r="B14">
        <v>1993</v>
      </c>
      <c r="C14">
        <v>23140</v>
      </c>
    </row>
    <row r="15" spans="2:4" x14ac:dyDescent="0.25">
      <c r="B15">
        <v>2001</v>
      </c>
      <c r="C15">
        <v>26096</v>
      </c>
    </row>
    <row r="16" spans="2:4" x14ac:dyDescent="0.25">
      <c r="B16">
        <v>2004</v>
      </c>
      <c r="C16">
        <v>27362</v>
      </c>
    </row>
    <row r="17" spans="2:3" x14ac:dyDescent="0.25">
      <c r="B17">
        <v>2008</v>
      </c>
      <c r="C17">
        <v>28416</v>
      </c>
    </row>
    <row r="18" spans="2:3" x14ac:dyDescent="0.25">
      <c r="B18">
        <v>2012</v>
      </c>
      <c r="C18">
        <v>28576</v>
      </c>
    </row>
    <row r="19" spans="2:3" x14ac:dyDescent="0.25">
      <c r="B19">
        <v>2013</v>
      </c>
      <c r="C19">
        <v>29035</v>
      </c>
    </row>
    <row r="20" spans="2:3" x14ac:dyDescent="0.25">
      <c r="B20">
        <v>2016</v>
      </c>
      <c r="C20">
        <v>30007</v>
      </c>
    </row>
    <row r="21" spans="2:3" x14ac:dyDescent="0.25">
      <c r="B21">
        <v>2017</v>
      </c>
      <c r="C21">
        <v>30456</v>
      </c>
    </row>
    <row r="22" spans="2:3" x14ac:dyDescent="0.25">
      <c r="B22">
        <v>2018</v>
      </c>
      <c r="C22">
        <v>31017</v>
      </c>
    </row>
    <row r="23" spans="2:3" x14ac:dyDescent="0.25">
      <c r="B23">
        <v>2019</v>
      </c>
      <c r="C23">
        <v>32048</v>
      </c>
    </row>
    <row r="25" spans="2:3" x14ac:dyDescent="0.25">
      <c r="B25" t="s">
        <v>75</v>
      </c>
    </row>
    <row r="27" spans="2:3" x14ac:dyDescent="0.25">
      <c r="B27" t="s">
        <v>3</v>
      </c>
    </row>
    <row r="28" spans="2:3" x14ac:dyDescent="0.25">
      <c r="B28" t="s">
        <v>19</v>
      </c>
    </row>
    <row r="29" spans="2:3" x14ac:dyDescent="0.25">
      <c r="B29" t="s">
        <v>76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45"/>
  <sheetViews>
    <sheetView topLeftCell="B4" workbookViewId="0">
      <pane ySplit="5" topLeftCell="A9" activePane="bottomLeft" state="frozen"/>
      <selection activeCell="A4" sqref="A4"/>
      <selection pane="bottomLeft" activeCell="F13" sqref="F13"/>
    </sheetView>
  </sheetViews>
  <sheetFormatPr baseColWidth="10" defaultRowHeight="15" x14ac:dyDescent="0.25"/>
  <cols>
    <col min="3" max="3" width="12" bestFit="1" customWidth="1"/>
    <col min="4" max="4" width="14.5703125" bestFit="1" customWidth="1"/>
    <col min="5" max="5" width="13.28515625" bestFit="1" customWidth="1"/>
    <col min="6" max="6" width="11.140625" bestFit="1" customWidth="1"/>
    <col min="7" max="7" width="26.42578125" bestFit="1" customWidth="1"/>
    <col min="8" max="8" width="13" bestFit="1" customWidth="1"/>
    <col min="9" max="9" width="15.140625" bestFit="1" customWidth="1"/>
    <col min="10" max="10" width="12.28515625" bestFit="1" customWidth="1"/>
    <col min="11" max="11" width="11.5703125" bestFit="1" customWidth="1"/>
    <col min="14" max="14" width="14.5703125" bestFit="1" customWidth="1"/>
  </cols>
  <sheetData>
    <row r="3" spans="2:14" x14ac:dyDescent="0.25">
      <c r="B3" s="1" t="s">
        <v>18</v>
      </c>
    </row>
    <row r="4" spans="2:14" ht="17.25" x14ac:dyDescent="0.25">
      <c r="B4" s="8" t="s">
        <v>77</v>
      </c>
    </row>
    <row r="7" spans="2:14" ht="17.25" x14ac:dyDescent="0.25">
      <c r="C7" s="62" t="s">
        <v>17</v>
      </c>
      <c r="D7" s="63"/>
      <c r="E7" s="63"/>
      <c r="F7" s="63"/>
      <c r="G7" s="64"/>
      <c r="H7" s="62" t="s">
        <v>81</v>
      </c>
      <c r="I7" s="63"/>
      <c r="J7" s="63"/>
      <c r="K7" s="64"/>
      <c r="L7" s="5"/>
    </row>
    <row r="8" spans="2:14" ht="17.25" x14ac:dyDescent="0.25">
      <c r="B8" s="1" t="s">
        <v>15</v>
      </c>
      <c r="C8" s="5" t="s">
        <v>98</v>
      </c>
      <c r="D8" s="5" t="s">
        <v>99</v>
      </c>
      <c r="E8" s="5" t="s">
        <v>101</v>
      </c>
      <c r="F8" s="5" t="s">
        <v>80</v>
      </c>
      <c r="G8" s="6" t="s">
        <v>100</v>
      </c>
      <c r="H8" s="5" t="s">
        <v>16</v>
      </c>
      <c r="I8" s="5" t="s">
        <v>5</v>
      </c>
      <c r="J8" s="5" t="s">
        <v>6</v>
      </c>
      <c r="K8" s="5" t="s">
        <v>4</v>
      </c>
      <c r="L8" s="5"/>
      <c r="M8" s="5"/>
      <c r="N8" s="5"/>
    </row>
    <row r="9" spans="2:14" x14ac:dyDescent="0.25">
      <c r="B9" t="s">
        <v>7</v>
      </c>
      <c r="C9" s="34">
        <v>8639</v>
      </c>
      <c r="D9" s="34">
        <v>787562</v>
      </c>
      <c r="E9" s="39">
        <v>9.1163560597291351</v>
      </c>
      <c r="F9" s="47">
        <v>0.41099999999999998</v>
      </c>
      <c r="G9" s="39">
        <f>+D9*F9/1000</f>
        <v>323.68798199999998</v>
      </c>
      <c r="H9" s="34">
        <v>460774</v>
      </c>
      <c r="I9" s="4">
        <f>+H9/D9</f>
        <v>0.585063779105645</v>
      </c>
      <c r="J9" s="3">
        <v>421.01100000000002</v>
      </c>
      <c r="K9" s="3">
        <f>+J9*1000/H9</f>
        <v>0.91370389822342402</v>
      </c>
      <c r="N9" s="3"/>
    </row>
    <row r="10" spans="2:14" x14ac:dyDescent="0.25">
      <c r="B10" t="s">
        <v>8</v>
      </c>
      <c r="C10" s="34">
        <v>9013</v>
      </c>
      <c r="D10" s="34">
        <v>925740</v>
      </c>
      <c r="E10" s="39">
        <v>10.271163874403639</v>
      </c>
      <c r="F10" s="47">
        <v>0.47199999999999998</v>
      </c>
      <c r="G10" s="39">
        <f t="shared" ref="G10:G17" si="0">+D10*F10/1000</f>
        <v>436.94927999999999</v>
      </c>
      <c r="H10" s="34">
        <v>493882</v>
      </c>
      <c r="I10" s="4">
        <f t="shared" ref="I10:I17" si="1">+H10/D10</f>
        <v>0.5334996867370968</v>
      </c>
      <c r="J10" s="3">
        <v>469.27499999999998</v>
      </c>
      <c r="K10" s="3">
        <f t="shared" ref="K10:K17" si="2">+J10*1000/H10</f>
        <v>0.95017635791545352</v>
      </c>
      <c r="N10" s="3"/>
    </row>
    <row r="11" spans="2:14" x14ac:dyDescent="0.25">
      <c r="B11" t="s">
        <v>9</v>
      </c>
      <c r="C11" s="34">
        <v>10232</v>
      </c>
      <c r="D11" s="34">
        <v>958469</v>
      </c>
      <c r="E11" s="39">
        <v>9.3673670836591079</v>
      </c>
      <c r="F11" s="47">
        <v>0.42499999999999999</v>
      </c>
      <c r="G11" s="39">
        <f t="shared" si="0"/>
        <v>407.34932500000002</v>
      </c>
      <c r="H11" s="34">
        <v>524485</v>
      </c>
      <c r="I11" s="4">
        <f t="shared" si="1"/>
        <v>0.54721122957550006</v>
      </c>
      <c r="J11" s="3">
        <v>500.83199999999999</v>
      </c>
      <c r="K11" s="3">
        <f t="shared" si="2"/>
        <v>0.95490242809613235</v>
      </c>
      <c r="N11" s="3"/>
    </row>
    <row r="12" spans="2:14" x14ac:dyDescent="0.25">
      <c r="B12" t="s">
        <v>10</v>
      </c>
      <c r="C12" s="34">
        <v>11081</v>
      </c>
      <c r="D12" s="34">
        <v>1090792</v>
      </c>
      <c r="E12" s="39">
        <v>9.843804710766177</v>
      </c>
      <c r="F12" s="47">
        <v>0.434</v>
      </c>
      <c r="G12" s="39">
        <f t="shared" si="0"/>
        <v>473.403728</v>
      </c>
      <c r="H12" s="34">
        <v>530590</v>
      </c>
      <c r="I12" s="4">
        <f t="shared" si="1"/>
        <v>0.48642637643107028</v>
      </c>
      <c r="J12" s="3">
        <v>488.12200000000001</v>
      </c>
      <c r="K12" s="3">
        <f t="shared" si="2"/>
        <v>0.91996079835654654</v>
      </c>
      <c r="N12" s="3"/>
    </row>
    <row r="13" spans="2:14" x14ac:dyDescent="0.25">
      <c r="B13" t="s">
        <v>11</v>
      </c>
      <c r="C13" s="34">
        <v>10222</v>
      </c>
      <c r="D13" s="34">
        <v>980801</v>
      </c>
      <c r="E13" s="39">
        <v>9.5950009782821368</v>
      </c>
      <c r="F13" s="47">
        <v>0.51</v>
      </c>
      <c r="G13" s="39">
        <f t="shared" si="0"/>
        <v>500.20850999999999</v>
      </c>
      <c r="H13" s="34">
        <v>518289</v>
      </c>
      <c r="I13" s="4">
        <f t="shared" si="1"/>
        <v>0.52843441228139043</v>
      </c>
      <c r="J13" s="3">
        <v>466.03199999999998</v>
      </c>
      <c r="K13" s="3">
        <f t="shared" si="2"/>
        <v>0.89917401295416266</v>
      </c>
      <c r="N13" s="3"/>
    </row>
    <row r="14" spans="2:14" x14ac:dyDescent="0.25">
      <c r="B14" t="s">
        <v>12</v>
      </c>
      <c r="C14" s="34">
        <v>10836</v>
      </c>
      <c r="D14" s="34">
        <v>1101893</v>
      </c>
      <c r="E14" s="39">
        <v>10.168816906607605</v>
      </c>
      <c r="F14" s="47">
        <v>0.47799999999999998</v>
      </c>
      <c r="G14" s="39">
        <f t="shared" si="0"/>
        <v>526.70485399999995</v>
      </c>
      <c r="H14" s="34">
        <v>534577</v>
      </c>
      <c r="I14" s="4">
        <f t="shared" si="1"/>
        <v>0.48514420184173962</v>
      </c>
      <c r="J14" s="3">
        <v>474.26</v>
      </c>
      <c r="K14" s="3">
        <f t="shared" si="2"/>
        <v>0.88716873340978009</v>
      </c>
      <c r="N14" s="3"/>
    </row>
    <row r="15" spans="2:14" x14ac:dyDescent="0.25">
      <c r="B15" t="s">
        <v>13</v>
      </c>
      <c r="C15" s="34">
        <v>10124</v>
      </c>
      <c r="D15" s="34">
        <v>1004004</v>
      </c>
      <c r="E15" s="39">
        <v>9.9170683524298688</v>
      </c>
      <c r="F15" s="47">
        <v>0.64500000000000002</v>
      </c>
      <c r="G15" s="39">
        <f t="shared" si="0"/>
        <v>647.58258000000012</v>
      </c>
      <c r="H15" s="34">
        <v>467653</v>
      </c>
      <c r="I15" s="4">
        <f t="shared" si="1"/>
        <v>0.46578798490842666</v>
      </c>
      <c r="J15" s="3">
        <v>555.28399999999999</v>
      </c>
      <c r="K15" s="3">
        <f t="shared" si="2"/>
        <v>1.1873846634149678</v>
      </c>
      <c r="N15" s="3"/>
    </row>
    <row r="16" spans="2:14" x14ac:dyDescent="0.25">
      <c r="B16" t="s">
        <v>14</v>
      </c>
      <c r="C16" s="37">
        <v>10311</v>
      </c>
      <c r="D16" s="37">
        <v>992669</v>
      </c>
      <c r="E16" s="40">
        <v>9.6272815439821553</v>
      </c>
      <c r="F16" s="48">
        <v>0.53400000000000003</v>
      </c>
      <c r="G16" s="40">
        <f t="shared" si="0"/>
        <v>530.0852460000001</v>
      </c>
      <c r="H16" s="37">
        <v>446601</v>
      </c>
      <c r="I16" s="32">
        <f t="shared" si="1"/>
        <v>0.44989921111669651</v>
      </c>
      <c r="J16" s="31">
        <v>503.01600000000002</v>
      </c>
      <c r="K16" s="3">
        <f t="shared" si="2"/>
        <v>1.1263208098504034</v>
      </c>
      <c r="N16" s="3"/>
    </row>
    <row r="17" spans="2:14" x14ac:dyDescent="0.25">
      <c r="B17" t="s">
        <v>73</v>
      </c>
      <c r="C17" s="38">
        <v>9555</v>
      </c>
      <c r="D17" s="38">
        <v>888389</v>
      </c>
      <c r="E17" s="41">
        <v>9.2976347462061746</v>
      </c>
      <c r="F17" s="49">
        <v>0.65600000000000003</v>
      </c>
      <c r="G17" s="41">
        <f t="shared" si="0"/>
        <v>582.78318400000001</v>
      </c>
      <c r="H17" s="35">
        <v>447334</v>
      </c>
      <c r="I17" s="11">
        <f t="shared" si="1"/>
        <v>0.50353392489101056</v>
      </c>
      <c r="J17" s="10">
        <v>527.952</v>
      </c>
      <c r="K17" s="10">
        <f t="shared" si="2"/>
        <v>1.1802188074235358</v>
      </c>
      <c r="N17" s="3"/>
    </row>
    <row r="18" spans="2:14" x14ac:dyDescent="0.25">
      <c r="N18" s="3"/>
    </row>
    <row r="19" spans="2:14" x14ac:dyDescent="0.25">
      <c r="B19" s="1" t="s">
        <v>61</v>
      </c>
    </row>
    <row r="20" spans="2:14" x14ac:dyDescent="0.25">
      <c r="L20" s="36"/>
    </row>
    <row r="21" spans="2:14" x14ac:dyDescent="0.25">
      <c r="B21" t="s">
        <v>8</v>
      </c>
      <c r="C21" s="17">
        <f t="shared" ref="C21:K21" si="3">+(C10-C9)/C9</f>
        <v>4.3292047690704945E-2</v>
      </c>
      <c r="D21" s="17">
        <f t="shared" si="3"/>
        <v>0.17545031375307596</v>
      </c>
      <c r="E21" s="17">
        <f t="shared" si="3"/>
        <v>0.12667427721211838</v>
      </c>
      <c r="F21" s="17">
        <f t="shared" si="3"/>
        <v>0.14841849148418493</v>
      </c>
      <c r="G21" s="43">
        <f t="shared" si="3"/>
        <v>0.34990887613491939</v>
      </c>
      <c r="H21" s="17">
        <f t="shared" si="3"/>
        <v>7.1853012539770042E-2</v>
      </c>
      <c r="I21" s="17">
        <f t="shared" si="3"/>
        <v>-8.8134138892295474E-2</v>
      </c>
      <c r="J21" s="17">
        <f t="shared" si="3"/>
        <v>0.1146383348653597</v>
      </c>
      <c r="K21" s="17">
        <f t="shared" si="3"/>
        <v>3.9917154521224393E-2</v>
      </c>
      <c r="L21" s="36"/>
    </row>
    <row r="22" spans="2:14" x14ac:dyDescent="0.25">
      <c r="B22" t="s">
        <v>9</v>
      </c>
      <c r="C22" s="4">
        <f t="shared" ref="C22:K22" si="4">+(C11-C10)/C10</f>
        <v>0.13524908465549762</v>
      </c>
      <c r="D22" s="4">
        <f t="shared" si="4"/>
        <v>3.5354419167368804E-2</v>
      </c>
      <c r="E22" s="4">
        <f t="shared" si="4"/>
        <v>-8.7993610246726486E-2</v>
      </c>
      <c r="F22" s="4">
        <f t="shared" si="4"/>
        <v>-9.9576271186440649E-2</v>
      </c>
      <c r="G22" s="44">
        <f t="shared" si="4"/>
        <v>-6.7742313249720812E-2</v>
      </c>
      <c r="H22" s="4">
        <f t="shared" si="4"/>
        <v>6.1964193876270043E-2</v>
      </c>
      <c r="I22" s="4">
        <f t="shared" si="4"/>
        <v>2.5701126316050052E-2</v>
      </c>
      <c r="J22" s="4">
        <f t="shared" si="4"/>
        <v>6.724628416173889E-2</v>
      </c>
      <c r="K22" s="4">
        <f t="shared" si="4"/>
        <v>4.9738873644963461E-3</v>
      </c>
      <c r="L22" s="36"/>
    </row>
    <row r="23" spans="2:14" x14ac:dyDescent="0.25">
      <c r="B23" t="s">
        <v>10</v>
      </c>
      <c r="C23" s="4">
        <f t="shared" ref="C23:K23" si="5">+(C12-C11)/C11</f>
        <v>8.2974980453479286E-2</v>
      </c>
      <c r="D23" s="4">
        <f t="shared" si="5"/>
        <v>0.13805662989621992</v>
      </c>
      <c r="E23" s="4">
        <f t="shared" si="5"/>
        <v>5.0861423797321899E-2</v>
      </c>
      <c r="F23" s="4">
        <f t="shared" si="5"/>
        <v>2.1176470588235314E-2</v>
      </c>
      <c r="G23" s="44">
        <f t="shared" si="5"/>
        <v>0.16215665264696333</v>
      </c>
      <c r="H23" s="4">
        <f t="shared" si="5"/>
        <v>1.1639989704186011E-2</v>
      </c>
      <c r="I23" s="4">
        <f t="shared" si="5"/>
        <v>-0.11108115085939248</v>
      </c>
      <c r="J23" s="4">
        <f t="shared" si="5"/>
        <v>-2.5377771388409645E-2</v>
      </c>
      <c r="K23" s="4">
        <f t="shared" si="5"/>
        <v>-3.6591832538589115E-2</v>
      </c>
      <c r="L23" s="36"/>
    </row>
    <row r="24" spans="2:14" x14ac:dyDescent="0.25">
      <c r="B24" t="s">
        <v>11</v>
      </c>
      <c r="C24" s="4">
        <f t="shared" ref="C24:K24" si="6">+(C13-C12)/C12</f>
        <v>-7.7520079415215229E-2</v>
      </c>
      <c r="D24" s="4">
        <f t="shared" si="6"/>
        <v>-0.10083590638728557</v>
      </c>
      <c r="E24" s="4">
        <f t="shared" si="6"/>
        <v>-2.5275159330611602E-2</v>
      </c>
      <c r="F24" s="4">
        <f t="shared" si="6"/>
        <v>0.17511520737327191</v>
      </c>
      <c r="G24" s="44">
        <f t="shared" si="6"/>
        <v>5.6621400328304955E-2</v>
      </c>
      <c r="H24" s="4">
        <f t="shared" si="6"/>
        <v>-2.3183625775080572E-2</v>
      </c>
      <c r="I24" s="4">
        <f t="shared" si="6"/>
        <v>8.6360522138077253E-2</v>
      </c>
      <c r="J24" s="4">
        <f t="shared" si="6"/>
        <v>-4.525507967270484E-2</v>
      </c>
      <c r="K24" s="4">
        <f t="shared" si="6"/>
        <v>-2.2595294755513706E-2</v>
      </c>
      <c r="L24" s="36"/>
    </row>
    <row r="25" spans="2:14" x14ac:dyDescent="0.25">
      <c r="B25" t="s">
        <v>12</v>
      </c>
      <c r="C25" s="4">
        <f t="shared" ref="C25:K25" si="7">+(C14-C13)/C13</f>
        <v>6.0066523185286637E-2</v>
      </c>
      <c r="D25" s="4">
        <f t="shared" si="7"/>
        <v>0.12346235372924783</v>
      </c>
      <c r="E25" s="4">
        <f t="shared" si="7"/>
        <v>5.9803634165778087E-2</v>
      </c>
      <c r="F25" s="4">
        <f t="shared" si="7"/>
        <v>-6.2745098039215741E-2</v>
      </c>
      <c r="G25" s="44">
        <f t="shared" si="7"/>
        <v>5.2970598201138093E-2</v>
      </c>
      <c r="H25" s="4">
        <f t="shared" si="7"/>
        <v>3.142648213641424E-2</v>
      </c>
      <c r="I25" s="4">
        <f t="shared" si="7"/>
        <v>-8.1921633855667308E-2</v>
      </c>
      <c r="J25" s="4">
        <f t="shared" si="7"/>
        <v>1.7655439969787502E-2</v>
      </c>
      <c r="K25" s="4">
        <f t="shared" si="7"/>
        <v>-1.3351452968419551E-2</v>
      </c>
      <c r="L25" s="36"/>
    </row>
    <row r="26" spans="2:14" x14ac:dyDescent="0.25">
      <c r="B26" t="s">
        <v>13</v>
      </c>
      <c r="C26" s="4">
        <f t="shared" ref="C26:K26" si="8">+(C15-C14)/C14</f>
        <v>-6.5706902916205248E-2</v>
      </c>
      <c r="D26" s="4">
        <f t="shared" si="8"/>
        <v>-8.8837119393625333E-2</v>
      </c>
      <c r="E26" s="4">
        <f t="shared" si="8"/>
        <v>-2.4756916806531533E-2</v>
      </c>
      <c r="F26" s="4">
        <f t="shared" si="8"/>
        <v>0.3493723849372386</v>
      </c>
      <c r="G26" s="44">
        <f t="shared" si="8"/>
        <v>0.2294980292701084</v>
      </c>
      <c r="H26" s="4">
        <f t="shared" si="8"/>
        <v>-0.12519057123669744</v>
      </c>
      <c r="I26" s="4">
        <f t="shared" si="8"/>
        <v>-3.9897863067993991E-2</v>
      </c>
      <c r="J26" s="4">
        <f t="shared" si="8"/>
        <v>0.17084299751191331</v>
      </c>
      <c r="K26" s="4">
        <f t="shared" si="8"/>
        <v>0.33839778015093674</v>
      </c>
      <c r="L26" s="36"/>
    </row>
    <row r="27" spans="2:14" x14ac:dyDescent="0.25">
      <c r="B27" t="s">
        <v>14</v>
      </c>
      <c r="C27" s="32">
        <f t="shared" ref="C27:K28" si="9">+(C16-C15)/C15</f>
        <v>1.8470960094824181E-2</v>
      </c>
      <c r="D27" s="32">
        <f t="shared" si="9"/>
        <v>-1.1289795658184628E-2</v>
      </c>
      <c r="E27" s="32">
        <f t="shared" si="9"/>
        <v>-2.9221015541020277E-2</v>
      </c>
      <c r="F27" s="32">
        <f t="shared" si="9"/>
        <v>-0.17209302325581394</v>
      </c>
      <c r="G27" s="45">
        <f t="shared" si="9"/>
        <v>-0.18143992384724122</v>
      </c>
      <c r="H27" s="32">
        <f t="shared" si="9"/>
        <v>-4.5016283440927354E-2</v>
      </c>
      <c r="I27" s="32">
        <f t="shared" si="9"/>
        <v>-3.4111600785180968E-2</v>
      </c>
      <c r="J27" s="32">
        <f t="shared" si="9"/>
        <v>-9.4128409966791712E-2</v>
      </c>
      <c r="K27" s="32">
        <f t="shared" si="9"/>
        <v>-5.142718736903866E-2</v>
      </c>
      <c r="L27" s="36"/>
    </row>
    <row r="28" spans="2:14" x14ac:dyDescent="0.25">
      <c r="B28" t="s">
        <v>73</v>
      </c>
      <c r="C28" s="11">
        <f t="shared" si="9"/>
        <v>-7.3319755600814662E-2</v>
      </c>
      <c r="D28" s="11">
        <f t="shared" si="9"/>
        <v>-0.10505012244766382</v>
      </c>
      <c r="E28" s="11">
        <f t="shared" si="9"/>
        <v>-3.4240901366599914E-2</v>
      </c>
      <c r="F28" s="11">
        <f t="shared" si="9"/>
        <v>0.22846441947565541</v>
      </c>
      <c r="G28" s="46">
        <f t="shared" si="9"/>
        <v>9.9414081787139383E-2</v>
      </c>
      <c r="H28" s="11">
        <f t="shared" si="9"/>
        <v>1.6412860696684512E-3</v>
      </c>
      <c r="I28" s="11">
        <f t="shared" si="9"/>
        <v>0.11921495403645438</v>
      </c>
      <c r="J28" s="11">
        <f t="shared" si="9"/>
        <v>4.957297580991455E-2</v>
      </c>
      <c r="K28" s="11">
        <f t="shared" si="9"/>
        <v>4.7853149033347857E-2</v>
      </c>
      <c r="L28" s="36"/>
    </row>
    <row r="30" spans="2:14" x14ac:dyDescent="0.25">
      <c r="B30" s="1" t="s">
        <v>62</v>
      </c>
    </row>
    <row r="32" spans="2:14" x14ac:dyDescent="0.25">
      <c r="B32" t="s">
        <v>8</v>
      </c>
      <c r="C32" s="19">
        <f>+C10-C9</f>
        <v>374</v>
      </c>
      <c r="D32" s="19">
        <f t="shared" ref="D32:K32" si="10">+D10-D9</f>
        <v>138178</v>
      </c>
      <c r="E32" s="42">
        <f t="shared" si="10"/>
        <v>1.1548078146745038</v>
      </c>
      <c r="F32" s="19">
        <f t="shared" si="10"/>
        <v>6.0999999999999999E-2</v>
      </c>
      <c r="G32" s="42">
        <f t="shared" si="10"/>
        <v>113.26129800000001</v>
      </c>
      <c r="H32" s="19">
        <f t="shared" si="10"/>
        <v>33108</v>
      </c>
      <c r="I32" s="42">
        <f t="shared" si="10"/>
        <v>-5.1564092368548198E-2</v>
      </c>
      <c r="J32" s="42">
        <f t="shared" si="10"/>
        <v>48.263999999999953</v>
      </c>
      <c r="K32" s="42">
        <f t="shared" si="10"/>
        <v>3.6472459692029502E-2</v>
      </c>
    </row>
    <row r="33" spans="2:11" x14ac:dyDescent="0.25">
      <c r="B33" t="s">
        <v>9</v>
      </c>
      <c r="C33" s="18">
        <f t="shared" ref="C33:K39" si="11">+C11-C10</f>
        <v>1219</v>
      </c>
      <c r="D33" s="18">
        <f t="shared" si="11"/>
        <v>32729</v>
      </c>
      <c r="E33" s="31">
        <f t="shared" si="11"/>
        <v>-0.90379679074453101</v>
      </c>
      <c r="F33" s="18">
        <f t="shared" si="11"/>
        <v>-4.6999999999999986E-2</v>
      </c>
      <c r="G33" s="31">
        <f t="shared" si="11"/>
        <v>-29.599954999999966</v>
      </c>
      <c r="H33" s="18">
        <f t="shared" si="11"/>
        <v>30603</v>
      </c>
      <c r="I33" s="31">
        <f t="shared" si="11"/>
        <v>1.3711542838403257E-2</v>
      </c>
      <c r="J33" s="31">
        <f t="shared" si="11"/>
        <v>31.557000000000016</v>
      </c>
      <c r="K33" s="31">
        <f t="shared" si="11"/>
        <v>4.7260701806788319E-3</v>
      </c>
    </row>
    <row r="34" spans="2:11" x14ac:dyDescent="0.25">
      <c r="B34" t="s">
        <v>10</v>
      </c>
      <c r="C34" s="18">
        <f t="shared" si="11"/>
        <v>849</v>
      </c>
      <c r="D34" s="18">
        <f t="shared" si="11"/>
        <v>132323</v>
      </c>
      <c r="E34" s="31">
        <f t="shared" si="11"/>
        <v>0.47643762710706916</v>
      </c>
      <c r="F34" s="18">
        <f t="shared" si="11"/>
        <v>9.000000000000008E-3</v>
      </c>
      <c r="G34" s="31">
        <f t="shared" si="11"/>
        <v>66.054402999999979</v>
      </c>
      <c r="H34" s="18">
        <f t="shared" si="11"/>
        <v>6105</v>
      </c>
      <c r="I34" s="31">
        <f t="shared" si="11"/>
        <v>-6.0784853144429773E-2</v>
      </c>
      <c r="J34" s="31">
        <f t="shared" si="11"/>
        <v>-12.70999999999998</v>
      </c>
      <c r="K34" s="31">
        <f t="shared" si="11"/>
        <v>-3.4941629739585811E-2</v>
      </c>
    </row>
    <row r="35" spans="2:11" x14ac:dyDescent="0.25">
      <c r="B35" t="s">
        <v>11</v>
      </c>
      <c r="C35" s="18">
        <f t="shared" si="11"/>
        <v>-859</v>
      </c>
      <c r="D35" s="18">
        <f t="shared" si="11"/>
        <v>-109991</v>
      </c>
      <c r="E35" s="31">
        <f t="shared" si="11"/>
        <v>-0.2488037324840402</v>
      </c>
      <c r="F35" s="18">
        <f t="shared" si="11"/>
        <v>7.6000000000000012E-2</v>
      </c>
      <c r="G35" s="31">
        <f t="shared" si="11"/>
        <v>26.804781999999989</v>
      </c>
      <c r="H35" s="18">
        <f t="shared" si="11"/>
        <v>-12301</v>
      </c>
      <c r="I35" s="31">
        <f t="shared" si="11"/>
        <v>4.2008035850320147E-2</v>
      </c>
      <c r="J35" s="31">
        <f t="shared" si="11"/>
        <v>-22.090000000000032</v>
      </c>
      <c r="K35" s="31">
        <f t="shared" si="11"/>
        <v>-2.0786785402383878E-2</v>
      </c>
    </row>
    <row r="36" spans="2:11" x14ac:dyDescent="0.25">
      <c r="B36" t="s">
        <v>12</v>
      </c>
      <c r="C36" s="18">
        <f t="shared" si="11"/>
        <v>614</v>
      </c>
      <c r="D36" s="18">
        <f t="shared" si="11"/>
        <v>121092</v>
      </c>
      <c r="E36" s="31">
        <f t="shared" si="11"/>
        <v>0.57381592832546779</v>
      </c>
      <c r="F36" s="18">
        <f t="shared" si="11"/>
        <v>-3.2000000000000028E-2</v>
      </c>
      <c r="G36" s="31">
        <f t="shared" si="11"/>
        <v>26.496343999999965</v>
      </c>
      <c r="H36" s="18">
        <f t="shared" si="11"/>
        <v>16288</v>
      </c>
      <c r="I36" s="31">
        <f t="shared" si="11"/>
        <v>-4.3290210439650811E-2</v>
      </c>
      <c r="J36" s="31">
        <f t="shared" si="11"/>
        <v>8.2280000000000086</v>
      </c>
      <c r="K36" s="31">
        <f t="shared" si="11"/>
        <v>-1.2005279544382574E-2</v>
      </c>
    </row>
    <row r="37" spans="2:11" x14ac:dyDescent="0.25">
      <c r="B37" t="s">
        <v>13</v>
      </c>
      <c r="C37" s="18">
        <f t="shared" si="11"/>
        <v>-712</v>
      </c>
      <c r="D37" s="18">
        <f t="shared" si="11"/>
        <v>-97889</v>
      </c>
      <c r="E37" s="31">
        <f t="shared" si="11"/>
        <v>-0.25174855417773578</v>
      </c>
      <c r="F37" s="18">
        <f t="shared" si="11"/>
        <v>0.16700000000000004</v>
      </c>
      <c r="G37" s="31">
        <f t="shared" si="11"/>
        <v>120.87772600000017</v>
      </c>
      <c r="H37" s="18">
        <f t="shared" si="11"/>
        <v>-66924</v>
      </c>
      <c r="I37" s="31">
        <f t="shared" si="11"/>
        <v>-1.9356216933312964E-2</v>
      </c>
      <c r="J37" s="31">
        <f t="shared" si="11"/>
        <v>81.024000000000001</v>
      </c>
      <c r="K37" s="31">
        <f t="shared" si="11"/>
        <v>0.30021593000518776</v>
      </c>
    </row>
    <row r="38" spans="2:11" x14ac:dyDescent="0.25">
      <c r="B38" t="s">
        <v>14</v>
      </c>
      <c r="C38" s="18">
        <f t="shared" si="11"/>
        <v>187</v>
      </c>
      <c r="D38" s="18">
        <f t="shared" si="11"/>
        <v>-11335</v>
      </c>
      <c r="E38" s="31">
        <f t="shared" si="11"/>
        <v>-0.28978680844771354</v>
      </c>
      <c r="F38" s="18">
        <f t="shared" si="11"/>
        <v>-0.11099999999999999</v>
      </c>
      <c r="G38" s="31">
        <f t="shared" si="11"/>
        <v>-117.49733400000002</v>
      </c>
      <c r="H38" s="18">
        <f t="shared" si="11"/>
        <v>-21052</v>
      </c>
      <c r="I38" s="31">
        <f t="shared" si="11"/>
        <v>-1.5888773791730149E-2</v>
      </c>
      <c r="J38" s="31">
        <f t="shared" si="11"/>
        <v>-52.267999999999972</v>
      </c>
      <c r="K38" s="31">
        <f t="shared" si="11"/>
        <v>-6.1063853564564452E-2</v>
      </c>
    </row>
    <row r="39" spans="2:11" x14ac:dyDescent="0.25">
      <c r="B39" t="s">
        <v>73</v>
      </c>
      <c r="C39" s="9">
        <f t="shared" si="11"/>
        <v>-756</v>
      </c>
      <c r="D39" s="9">
        <f t="shared" si="11"/>
        <v>-104280</v>
      </c>
      <c r="E39" s="10">
        <f t="shared" si="11"/>
        <v>-0.32964679777598072</v>
      </c>
      <c r="F39" s="9">
        <f t="shared" si="11"/>
        <v>0.122</v>
      </c>
      <c r="G39" s="10">
        <f t="shared" si="11"/>
        <v>52.697937999999908</v>
      </c>
      <c r="H39" s="9">
        <f t="shared" si="11"/>
        <v>733</v>
      </c>
      <c r="I39" s="10">
        <f t="shared" si="11"/>
        <v>5.3634713774314058E-2</v>
      </c>
      <c r="J39" s="10">
        <f t="shared" si="11"/>
        <v>24.935999999999979</v>
      </c>
      <c r="K39" s="10">
        <f t="shared" si="11"/>
        <v>5.3897997573132406E-2</v>
      </c>
    </row>
    <row r="43" spans="2:11" x14ac:dyDescent="0.25">
      <c r="B43" t="s">
        <v>75</v>
      </c>
    </row>
    <row r="44" spans="2:11" x14ac:dyDescent="0.25">
      <c r="B44" t="s">
        <v>79</v>
      </c>
    </row>
    <row r="45" spans="2:11" x14ac:dyDescent="0.25">
      <c r="B45" t="s">
        <v>78</v>
      </c>
    </row>
  </sheetData>
  <mergeCells count="2">
    <mergeCell ref="H7:K7"/>
    <mergeCell ref="C7:G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6"/>
  <sheetViews>
    <sheetView workbookViewId="0">
      <selection activeCell="K16" sqref="K16"/>
    </sheetView>
  </sheetViews>
  <sheetFormatPr baseColWidth="10" defaultRowHeight="15" x14ac:dyDescent="0.25"/>
  <sheetData>
    <row r="3" spans="2:10" x14ac:dyDescent="0.25">
      <c r="B3" s="1" t="s">
        <v>84</v>
      </c>
    </row>
    <row r="4" spans="2:10" x14ac:dyDescent="0.25">
      <c r="B4" t="s">
        <v>104</v>
      </c>
    </row>
    <row r="6" spans="2:10" x14ac:dyDescent="0.25">
      <c r="C6" s="65" t="s">
        <v>21</v>
      </c>
      <c r="D6" s="65"/>
      <c r="F6" s="65" t="s">
        <v>62</v>
      </c>
      <c r="G6" s="65"/>
      <c r="I6" s="65" t="s">
        <v>63</v>
      </c>
      <c r="J6" s="65"/>
    </row>
    <row r="7" spans="2:10" x14ac:dyDescent="0.25">
      <c r="B7" s="2" t="s">
        <v>1</v>
      </c>
      <c r="C7" s="24" t="s">
        <v>83</v>
      </c>
      <c r="D7" s="22" t="s">
        <v>20</v>
      </c>
      <c r="F7" s="2" t="s">
        <v>83</v>
      </c>
      <c r="G7" s="2" t="s">
        <v>20</v>
      </c>
      <c r="I7" s="2" t="s">
        <v>83</v>
      </c>
      <c r="J7" s="2" t="s">
        <v>20</v>
      </c>
    </row>
    <row r="8" spans="2:10" x14ac:dyDescent="0.25">
      <c r="B8">
        <v>2010</v>
      </c>
      <c r="C8" s="25">
        <v>503034</v>
      </c>
      <c r="D8" s="23">
        <v>308077</v>
      </c>
      <c r="F8" s="20" t="s">
        <v>57</v>
      </c>
      <c r="G8" s="24" t="s">
        <v>57</v>
      </c>
      <c r="I8" s="24" t="s">
        <v>57</v>
      </c>
      <c r="J8" s="22" t="s">
        <v>57</v>
      </c>
    </row>
    <row r="9" spans="2:10" x14ac:dyDescent="0.25">
      <c r="B9">
        <v>2011</v>
      </c>
      <c r="C9" s="25">
        <v>465091</v>
      </c>
      <c r="D9" s="23">
        <v>335354</v>
      </c>
      <c r="F9" s="21">
        <f>+C9-C8</f>
        <v>-37943</v>
      </c>
      <c r="G9" s="25">
        <f>+D9-D8</f>
        <v>27277</v>
      </c>
      <c r="I9" s="27">
        <f>+(C9-C8)/C8</f>
        <v>-7.5428301069112622E-2</v>
      </c>
      <c r="J9" s="26">
        <f>+(D9-D8)/D8</f>
        <v>8.8539553423332473E-2</v>
      </c>
    </row>
    <row r="10" spans="2:10" x14ac:dyDescent="0.25">
      <c r="B10">
        <v>2012</v>
      </c>
      <c r="C10" s="25">
        <v>445668</v>
      </c>
      <c r="D10" s="23">
        <v>347353</v>
      </c>
      <c r="F10" s="21">
        <f t="shared" ref="F10:F16" si="0">+C10-C9</f>
        <v>-19423</v>
      </c>
      <c r="G10" s="25">
        <f t="shared" ref="G10:G16" si="1">+D10-D9</f>
        <v>11999</v>
      </c>
      <c r="I10" s="27">
        <f t="shared" ref="I10:I16" si="2">+(C10-C9)/C9</f>
        <v>-4.1761719749468386E-2</v>
      </c>
      <c r="J10" s="26">
        <f t="shared" ref="J10:J15" si="3">+(D10-D9)/D9</f>
        <v>3.5780101027570864E-2</v>
      </c>
    </row>
    <row r="11" spans="2:10" x14ac:dyDescent="0.25">
      <c r="B11">
        <v>2013</v>
      </c>
      <c r="C11" s="25">
        <v>441533</v>
      </c>
      <c r="D11" s="23">
        <v>365695</v>
      </c>
      <c r="F11" s="21">
        <f t="shared" si="0"/>
        <v>-4135</v>
      </c>
      <c r="G11" s="25">
        <f t="shared" si="1"/>
        <v>18342</v>
      </c>
      <c r="I11" s="27">
        <f t="shared" si="2"/>
        <v>-9.2782070958650834E-3</v>
      </c>
      <c r="J11" s="26">
        <f t="shared" si="3"/>
        <v>5.2805071497871045E-2</v>
      </c>
    </row>
    <row r="12" spans="2:10" x14ac:dyDescent="0.25">
      <c r="B12">
        <v>2014</v>
      </c>
      <c r="C12" s="25">
        <v>487628</v>
      </c>
      <c r="D12" s="23">
        <v>388305</v>
      </c>
      <c r="F12" s="21">
        <f t="shared" si="0"/>
        <v>46095</v>
      </c>
      <c r="G12" s="25">
        <f t="shared" si="1"/>
        <v>22610</v>
      </c>
      <c r="I12" s="27">
        <f t="shared" si="2"/>
        <v>0.10439763279301886</v>
      </c>
      <c r="J12" s="26">
        <f t="shared" si="3"/>
        <v>6.1827479183472568E-2</v>
      </c>
    </row>
    <row r="13" spans="2:10" x14ac:dyDescent="0.25">
      <c r="B13">
        <v>2015</v>
      </c>
      <c r="C13" s="25">
        <v>480738</v>
      </c>
      <c r="D13" s="23">
        <v>382982</v>
      </c>
      <c r="F13" s="21">
        <f t="shared" si="0"/>
        <v>-6890</v>
      </c>
      <c r="G13" s="25">
        <f t="shared" si="1"/>
        <v>-5323</v>
      </c>
      <c r="I13" s="27">
        <f t="shared" si="2"/>
        <v>-1.4129623401445364E-2</v>
      </c>
      <c r="J13" s="26">
        <f t="shared" si="3"/>
        <v>-1.3708296313464931E-2</v>
      </c>
    </row>
    <row r="14" spans="2:10" x14ac:dyDescent="0.25">
      <c r="B14">
        <v>2016</v>
      </c>
      <c r="C14" s="25">
        <v>525270</v>
      </c>
      <c r="D14" s="23">
        <v>393937</v>
      </c>
      <c r="F14" s="21">
        <f t="shared" si="0"/>
        <v>44532</v>
      </c>
      <c r="G14" s="25">
        <f t="shared" si="1"/>
        <v>10955</v>
      </c>
      <c r="I14" s="27">
        <f t="shared" si="2"/>
        <v>9.2632577412228703E-2</v>
      </c>
      <c r="J14" s="26">
        <f t="shared" si="3"/>
        <v>2.8604477495025878E-2</v>
      </c>
    </row>
    <row r="15" spans="2:10" x14ac:dyDescent="0.25">
      <c r="B15">
        <v>2017</v>
      </c>
      <c r="C15" s="25">
        <v>570470</v>
      </c>
      <c r="D15" s="23">
        <v>406260</v>
      </c>
      <c r="F15" s="21">
        <f t="shared" si="0"/>
        <v>45200</v>
      </c>
      <c r="G15" s="25">
        <f t="shared" si="1"/>
        <v>12323</v>
      </c>
      <c r="I15" s="27">
        <f t="shared" si="2"/>
        <v>8.6050983303824699E-2</v>
      </c>
      <c r="J15" s="26">
        <f t="shared" si="3"/>
        <v>3.1281651634652241E-2</v>
      </c>
    </row>
    <row r="16" spans="2:10" x14ac:dyDescent="0.25">
      <c r="B16">
        <v>2018</v>
      </c>
      <c r="C16" s="25">
        <v>628226</v>
      </c>
      <c r="D16" s="23">
        <v>449711</v>
      </c>
      <c r="F16" s="21">
        <f t="shared" si="0"/>
        <v>57756</v>
      </c>
      <c r="G16" s="25">
        <f t="shared" si="1"/>
        <v>43451</v>
      </c>
      <c r="I16" s="27">
        <f t="shared" si="2"/>
        <v>0.10124283485547005</v>
      </c>
      <c r="J16" s="26">
        <f>+(D16-D15)/D15</f>
        <v>0.10695367498646187</v>
      </c>
    </row>
  </sheetData>
  <mergeCells count="3">
    <mergeCell ref="C6:D6"/>
    <mergeCell ref="F6:G6"/>
    <mergeCell ref="I6:J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37"/>
  <sheetViews>
    <sheetView tabSelected="1" workbookViewId="0"/>
  </sheetViews>
  <sheetFormatPr baseColWidth="10" defaultRowHeight="15" x14ac:dyDescent="0.25"/>
  <cols>
    <col min="3" max="4" width="13" bestFit="1" customWidth="1"/>
    <col min="5" max="5" width="12" bestFit="1" customWidth="1"/>
    <col min="6" max="6" width="13" bestFit="1" customWidth="1"/>
    <col min="7" max="7" width="12" bestFit="1" customWidth="1"/>
    <col min="8" max="8" width="14" customWidth="1"/>
  </cols>
  <sheetData>
    <row r="3" spans="2:11" x14ac:dyDescent="0.25">
      <c r="B3" s="1" t="s">
        <v>82</v>
      </c>
    </row>
    <row r="4" spans="2:11" x14ac:dyDescent="0.25">
      <c r="B4" t="s">
        <v>22</v>
      </c>
    </row>
    <row r="5" spans="2:11" ht="18.75" x14ac:dyDescent="0.35">
      <c r="B5" t="s">
        <v>38</v>
      </c>
    </row>
    <row r="7" spans="2:11" x14ac:dyDescent="0.25">
      <c r="C7" s="68" t="s">
        <v>28</v>
      </c>
      <c r="D7" s="68"/>
      <c r="E7" s="68"/>
      <c r="F7" s="68"/>
      <c r="G7" s="68"/>
    </row>
    <row r="8" spans="2:11" x14ac:dyDescent="0.25">
      <c r="C8" s="57" t="s">
        <v>23</v>
      </c>
      <c r="D8" s="57" t="s">
        <v>24</v>
      </c>
      <c r="E8" s="57" t="s">
        <v>25</v>
      </c>
      <c r="F8" s="57" t="s">
        <v>26</v>
      </c>
      <c r="G8" s="57" t="s">
        <v>27</v>
      </c>
      <c r="H8" s="57" t="s">
        <v>46</v>
      </c>
    </row>
    <row r="9" spans="2:11" x14ac:dyDescent="0.25">
      <c r="C9" s="66" t="s">
        <v>29</v>
      </c>
      <c r="D9" s="66"/>
      <c r="E9" s="66"/>
      <c r="F9" s="66"/>
      <c r="G9" s="66"/>
      <c r="H9" s="59"/>
    </row>
    <row r="10" spans="2:11" x14ac:dyDescent="0.25">
      <c r="B10" s="1">
        <v>2018</v>
      </c>
      <c r="C10" s="58">
        <f>2994470/1000</f>
        <v>2994.47</v>
      </c>
      <c r="D10" s="58">
        <f>1505287/1000</f>
        <v>1505.287</v>
      </c>
      <c r="E10" s="58">
        <f>408836/1000</f>
        <v>408.83600000000001</v>
      </c>
      <c r="F10" s="58">
        <f>1339019/1000</f>
        <v>1339.019</v>
      </c>
      <c r="G10" s="58">
        <f>517418/1000</f>
        <v>517.41800000000001</v>
      </c>
      <c r="H10" s="58">
        <f>+SUM(C10:G10)</f>
        <v>6765.03</v>
      </c>
    </row>
    <row r="11" spans="2:11" x14ac:dyDescent="0.25">
      <c r="B11" s="1">
        <v>2019</v>
      </c>
      <c r="C11" s="58">
        <f>4294540/1000</f>
        <v>4294.54</v>
      </c>
      <c r="D11" s="58">
        <f>2676450/1000</f>
        <v>2676.45</v>
      </c>
      <c r="E11" s="58">
        <f>928500/1000</f>
        <v>928.5</v>
      </c>
      <c r="F11" s="58">
        <f>4284200/1000</f>
        <v>4284.2</v>
      </c>
      <c r="G11" s="58">
        <f>760850/1000</f>
        <v>760.85</v>
      </c>
      <c r="H11" s="58">
        <f>+SUM(C11:G11)</f>
        <v>12944.539999999999</v>
      </c>
      <c r="K11" s="12"/>
    </row>
    <row r="12" spans="2:11" ht="17.25" x14ac:dyDescent="0.25">
      <c r="B12" s="1"/>
      <c r="C12" s="66" t="s">
        <v>32</v>
      </c>
      <c r="D12" s="66"/>
      <c r="E12" s="66"/>
      <c r="F12" s="66"/>
      <c r="G12" s="66"/>
      <c r="H12" s="59"/>
    </row>
    <row r="13" spans="2:11" x14ac:dyDescent="0.25">
      <c r="B13" s="1"/>
      <c r="C13" s="3">
        <f>1/20.3*1000</f>
        <v>49.261083743842363</v>
      </c>
      <c r="D13" s="3">
        <f>1/20.7*1000</f>
        <v>48.309178743961354</v>
      </c>
      <c r="E13" s="3">
        <f>1/28.3*1000</f>
        <v>35.335689045936398</v>
      </c>
      <c r="F13" s="3">
        <f>1/37.6*1000</f>
        <v>26.595744680851062</v>
      </c>
      <c r="G13" s="3">
        <f>1/13.7*1000</f>
        <v>72.992700729927009</v>
      </c>
    </row>
    <row r="14" spans="2:11" x14ac:dyDescent="0.25">
      <c r="B14" s="1">
        <v>2018</v>
      </c>
      <c r="C14" s="58">
        <v>147510.83743842362</v>
      </c>
      <c r="D14" s="58">
        <v>72719.178743961354</v>
      </c>
      <c r="E14" s="58">
        <v>14446.501766784453</v>
      </c>
      <c r="F14" s="58">
        <v>35612.207446808512</v>
      </c>
      <c r="G14" s="58">
        <v>37767.737226277372</v>
      </c>
      <c r="H14" s="58">
        <f>+SUM(C14:G14)</f>
        <v>308056.46262225532</v>
      </c>
    </row>
    <row r="15" spans="2:11" x14ac:dyDescent="0.25">
      <c r="B15" s="1">
        <v>2019</v>
      </c>
      <c r="C15" s="58">
        <v>211553.69458128078</v>
      </c>
      <c r="D15" s="58">
        <v>129297.10144927536</v>
      </c>
      <c r="E15" s="58">
        <v>32809.187279151949</v>
      </c>
      <c r="F15" s="58">
        <v>113941.48936170212</v>
      </c>
      <c r="G15" s="58">
        <v>55536.496350364963</v>
      </c>
      <c r="H15" s="58">
        <f>+SUM(C15:G15)</f>
        <v>543137.96902177518</v>
      </c>
    </row>
    <row r="16" spans="2:11" x14ac:dyDescent="0.25">
      <c r="B16" s="1"/>
      <c r="C16" s="66" t="s">
        <v>35</v>
      </c>
      <c r="D16" s="66"/>
      <c r="E16" s="66"/>
      <c r="F16" s="66"/>
      <c r="G16" s="66"/>
      <c r="H16" s="59"/>
    </row>
    <row r="17" spans="2:8" x14ac:dyDescent="0.25">
      <c r="B17" s="1"/>
      <c r="C17" s="12">
        <f>220/60</f>
        <v>3.6666666666666665</v>
      </c>
      <c r="D17" s="12">
        <f>250/55</f>
        <v>4.5454545454545459</v>
      </c>
      <c r="E17" s="12">
        <f>110/30</f>
        <v>3.6666666666666665</v>
      </c>
      <c r="F17" s="12">
        <f>110/30</f>
        <v>3.6666666666666665</v>
      </c>
      <c r="G17" s="12">
        <f>310/60</f>
        <v>5.166666666666667</v>
      </c>
    </row>
    <row r="18" spans="2:8" x14ac:dyDescent="0.25">
      <c r="B18" s="1">
        <v>2018</v>
      </c>
      <c r="C18" s="58">
        <v>10979.723333333332</v>
      </c>
      <c r="D18" s="58">
        <v>6842.2136363636373</v>
      </c>
      <c r="E18" s="58">
        <v>1499.0653333333332</v>
      </c>
      <c r="F18" s="58">
        <v>4909.7363333333333</v>
      </c>
      <c r="G18" s="58">
        <v>2673.3263333333334</v>
      </c>
      <c r="H18" s="58">
        <f>+SUM(C18:G18)</f>
        <v>26904.06496969697</v>
      </c>
    </row>
    <row r="19" spans="2:8" x14ac:dyDescent="0.25">
      <c r="B19" s="1">
        <v>2019</v>
      </c>
      <c r="C19" s="58">
        <v>15746.646666666666</v>
      </c>
      <c r="D19" s="58">
        <v>12165.681818181818</v>
      </c>
      <c r="E19" s="58">
        <v>3404.5</v>
      </c>
      <c r="F19" s="58">
        <v>15708.733333333332</v>
      </c>
      <c r="G19" s="58">
        <v>3931.0583333333338</v>
      </c>
      <c r="H19" s="58">
        <f>+SUM(C19:G19)</f>
        <v>50956.620151515148</v>
      </c>
    </row>
    <row r="20" spans="2:8" x14ac:dyDescent="0.25">
      <c r="B20" s="1"/>
      <c r="C20" s="66" t="s">
        <v>36</v>
      </c>
      <c r="D20" s="66"/>
      <c r="E20" s="66"/>
      <c r="F20" s="66"/>
      <c r="G20" s="66"/>
      <c r="H20" s="59"/>
    </row>
    <row r="21" spans="2:8" x14ac:dyDescent="0.25">
      <c r="B21" s="1"/>
      <c r="C21" s="3">
        <v>1.2916666666666667</v>
      </c>
      <c r="D21" s="3">
        <v>1.6363636363636365</v>
      </c>
      <c r="E21" s="3">
        <v>1.1666666666666667</v>
      </c>
      <c r="F21" s="3">
        <v>1.5</v>
      </c>
      <c r="G21" s="3">
        <v>1.75</v>
      </c>
    </row>
    <row r="22" spans="2:8" x14ac:dyDescent="0.25">
      <c r="B22" s="1">
        <v>2018</v>
      </c>
      <c r="C22" s="58">
        <v>3867.8570833333333</v>
      </c>
      <c r="D22" s="58">
        <v>2463.1969090909092</v>
      </c>
      <c r="E22" s="58">
        <v>476.97533333333337</v>
      </c>
      <c r="F22" s="58">
        <v>2008.5284999999999</v>
      </c>
      <c r="G22" s="58">
        <v>905.48149999999998</v>
      </c>
      <c r="H22" s="58">
        <f>+SUM(C22:G22)</f>
        <v>9722.0393257575761</v>
      </c>
    </row>
    <row r="23" spans="2:8" x14ac:dyDescent="0.25">
      <c r="B23" s="1">
        <v>2019</v>
      </c>
      <c r="C23" s="58">
        <v>5547.1141666666672</v>
      </c>
      <c r="D23" s="58">
        <v>4379.6454545454544</v>
      </c>
      <c r="E23" s="58">
        <v>1083.25</v>
      </c>
      <c r="F23" s="58">
        <v>6426.2999999999993</v>
      </c>
      <c r="G23" s="58">
        <v>1331.4875</v>
      </c>
      <c r="H23" s="58">
        <f>+SUM(C23:G23)</f>
        <v>18767.797121212119</v>
      </c>
    </row>
    <row r="24" spans="2:8" x14ac:dyDescent="0.25">
      <c r="B24" s="1"/>
      <c r="C24" s="66" t="s">
        <v>37</v>
      </c>
      <c r="D24" s="66"/>
      <c r="E24" s="66"/>
      <c r="F24" s="66"/>
      <c r="G24" s="66"/>
      <c r="H24" s="59"/>
    </row>
    <row r="25" spans="2:8" x14ac:dyDescent="0.25">
      <c r="B25" s="1"/>
      <c r="C25" s="3">
        <v>5.25</v>
      </c>
      <c r="D25" s="3">
        <v>5.8181818181818183</v>
      </c>
      <c r="E25" s="3">
        <v>4.5</v>
      </c>
      <c r="F25" s="3">
        <v>4.666666666666667</v>
      </c>
      <c r="G25" s="3">
        <v>6</v>
      </c>
    </row>
    <row r="26" spans="2:8" x14ac:dyDescent="0.25">
      <c r="B26" s="1">
        <v>2018</v>
      </c>
      <c r="C26" s="58">
        <v>15720.967499999999</v>
      </c>
      <c r="D26" s="58">
        <v>8758.0334545454552</v>
      </c>
      <c r="E26" s="58">
        <v>1839.7620000000002</v>
      </c>
      <c r="F26" s="58">
        <v>6248.7553333333335</v>
      </c>
      <c r="G26" s="58">
        <v>3104.5079999999998</v>
      </c>
      <c r="H26" s="58">
        <f>+SUM(C26:G26)</f>
        <v>35672.026287878783</v>
      </c>
    </row>
    <row r="27" spans="2:8" x14ac:dyDescent="0.25">
      <c r="B27" s="1">
        <v>2019</v>
      </c>
      <c r="C27" s="58">
        <v>22546.334999999999</v>
      </c>
      <c r="D27" s="58">
        <v>15572.072727272727</v>
      </c>
      <c r="E27" s="58">
        <v>4178.25</v>
      </c>
      <c r="F27" s="58">
        <v>19992.933333333334</v>
      </c>
      <c r="G27" s="58">
        <v>4565.1000000000004</v>
      </c>
      <c r="H27" s="58">
        <f>+SUM(C27:G27)</f>
        <v>66854.69106060607</v>
      </c>
    </row>
    <row r="28" spans="2:8" x14ac:dyDescent="0.25">
      <c r="B28" s="1"/>
      <c r="C28" s="67" t="s">
        <v>40</v>
      </c>
      <c r="D28" s="67"/>
      <c r="E28" s="67"/>
      <c r="F28" s="67"/>
      <c r="G28" s="67"/>
      <c r="H28" s="60"/>
    </row>
    <row r="29" spans="2:8" x14ac:dyDescent="0.25">
      <c r="B29" s="1"/>
      <c r="C29" s="13">
        <v>0.46</v>
      </c>
      <c r="D29" s="13">
        <v>1.08</v>
      </c>
      <c r="E29" s="13">
        <v>0.42</v>
      </c>
      <c r="F29" s="13">
        <v>0.33</v>
      </c>
      <c r="G29" s="13">
        <v>1.35</v>
      </c>
    </row>
    <row r="30" spans="2:8" x14ac:dyDescent="0.25">
      <c r="B30" s="1">
        <v>2018</v>
      </c>
      <c r="C30" s="61">
        <v>1377.4562000000001</v>
      </c>
      <c r="D30" s="61">
        <v>1625.7099600000001</v>
      </c>
      <c r="E30" s="61">
        <v>171.71111999999999</v>
      </c>
      <c r="F30" s="61">
        <v>441.87627000000003</v>
      </c>
      <c r="G30" s="61">
        <v>698.51430000000005</v>
      </c>
      <c r="H30" s="58">
        <f>+SUM(C30:G30)</f>
        <v>4315.2678500000002</v>
      </c>
    </row>
    <row r="31" spans="2:8" x14ac:dyDescent="0.25">
      <c r="B31" s="1">
        <v>2019</v>
      </c>
      <c r="C31" s="61">
        <v>1975.4884</v>
      </c>
      <c r="D31" s="61">
        <v>2890.5659999999998</v>
      </c>
      <c r="E31" s="61">
        <v>389.96999999999997</v>
      </c>
      <c r="F31" s="61">
        <v>1413.7860000000001</v>
      </c>
      <c r="G31" s="61">
        <v>1027.1475</v>
      </c>
      <c r="H31" s="58">
        <f>+SUM(C31:G31)</f>
        <v>7696.9579000000003</v>
      </c>
    </row>
    <row r="33" spans="2:2" x14ac:dyDescent="0.25">
      <c r="B33" t="s">
        <v>30</v>
      </c>
    </row>
    <row r="34" spans="2:2" x14ac:dyDescent="0.25">
      <c r="B34" t="s">
        <v>31</v>
      </c>
    </row>
    <row r="35" spans="2:2" x14ac:dyDescent="0.25">
      <c r="B35" t="s">
        <v>33</v>
      </c>
    </row>
    <row r="36" spans="2:2" x14ac:dyDescent="0.25">
      <c r="B36" t="s">
        <v>34</v>
      </c>
    </row>
    <row r="37" spans="2:2" x14ac:dyDescent="0.25">
      <c r="B37" t="s">
        <v>39</v>
      </c>
    </row>
  </sheetData>
  <mergeCells count="7">
    <mergeCell ref="C7:G7"/>
    <mergeCell ref="C9:G9"/>
    <mergeCell ref="C12:G12"/>
    <mergeCell ref="C16:G16"/>
    <mergeCell ref="C20:G20"/>
    <mergeCell ref="C24:G24"/>
    <mergeCell ref="C28:G2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3"/>
  <sheetViews>
    <sheetView workbookViewId="0">
      <selection activeCell="B16" sqref="B16"/>
    </sheetView>
  </sheetViews>
  <sheetFormatPr baseColWidth="10" defaultRowHeight="15" x14ac:dyDescent="0.25"/>
  <cols>
    <col min="3" max="3" width="11.5703125" bestFit="1" customWidth="1"/>
    <col min="4" max="4" width="16" bestFit="1" customWidth="1"/>
    <col min="5" max="5" width="11.5703125" bestFit="1" customWidth="1"/>
    <col min="6" max="6" width="12" bestFit="1" customWidth="1"/>
  </cols>
  <sheetData>
    <row r="3" spans="2:6" x14ac:dyDescent="0.25">
      <c r="B3" s="1" t="s">
        <v>49</v>
      </c>
    </row>
    <row r="4" spans="2:6" x14ac:dyDescent="0.25">
      <c r="B4" t="s">
        <v>87</v>
      </c>
    </row>
    <row r="5" spans="2:6" x14ac:dyDescent="0.25">
      <c r="B5" t="s">
        <v>88</v>
      </c>
    </row>
    <row r="7" spans="2:6" x14ac:dyDescent="0.25">
      <c r="C7" s="52" t="s">
        <v>47</v>
      </c>
      <c r="D7" s="52" t="s">
        <v>48</v>
      </c>
      <c r="E7" s="52" t="s">
        <v>51</v>
      </c>
      <c r="F7" s="52" t="s">
        <v>50</v>
      </c>
    </row>
    <row r="8" spans="2:6" x14ac:dyDescent="0.25">
      <c r="B8" t="s">
        <v>26</v>
      </c>
      <c r="C8" s="50">
        <v>0</v>
      </c>
      <c r="D8" s="50">
        <v>1442.8</v>
      </c>
      <c r="E8" s="50">
        <v>3425</v>
      </c>
      <c r="F8" s="50">
        <f>+D8+E8</f>
        <v>4867.8</v>
      </c>
    </row>
    <row r="9" spans="2:6" x14ac:dyDescent="0.25">
      <c r="B9" t="s">
        <v>23</v>
      </c>
      <c r="C9" s="50">
        <v>1232</v>
      </c>
      <c r="D9" s="50">
        <v>3295.7</v>
      </c>
      <c r="E9" s="50">
        <v>2851</v>
      </c>
      <c r="F9" s="50">
        <f>+SUM(C9:E9)</f>
        <v>7378.7</v>
      </c>
    </row>
    <row r="10" spans="2:6" x14ac:dyDescent="0.25">
      <c r="B10" t="s">
        <v>24</v>
      </c>
      <c r="C10" s="50">
        <v>0</v>
      </c>
      <c r="D10" s="50">
        <v>2695.9</v>
      </c>
      <c r="E10" s="50">
        <v>0</v>
      </c>
      <c r="F10" s="50">
        <v>2695.9</v>
      </c>
    </row>
    <row r="11" spans="2:6" x14ac:dyDescent="0.25">
      <c r="B11" t="s">
        <v>52</v>
      </c>
      <c r="C11" s="50">
        <v>0</v>
      </c>
      <c r="D11" s="50">
        <v>750.8</v>
      </c>
      <c r="E11" s="50">
        <v>12</v>
      </c>
      <c r="F11" s="50">
        <v>762.8</v>
      </c>
    </row>
    <row r="12" spans="2:6" x14ac:dyDescent="0.25">
      <c r="B12" t="s">
        <v>25</v>
      </c>
      <c r="C12" s="50">
        <v>0</v>
      </c>
      <c r="D12" s="50">
        <v>0</v>
      </c>
      <c r="E12" s="50">
        <v>974</v>
      </c>
      <c r="F12" s="50">
        <v>974</v>
      </c>
    </row>
    <row r="13" spans="2:6" x14ac:dyDescent="0.25">
      <c r="B13" t="s">
        <v>46</v>
      </c>
      <c r="C13" s="51">
        <f>+SUM(C8:C12)</f>
        <v>1232</v>
      </c>
      <c r="D13" s="51">
        <f t="shared" ref="D13:F13" si="0">+SUM(D8:D12)</f>
        <v>8185.2</v>
      </c>
      <c r="E13" s="51">
        <f t="shared" si="0"/>
        <v>7262</v>
      </c>
      <c r="F13" s="51">
        <f t="shared" si="0"/>
        <v>16679.199999999997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22"/>
  <sheetViews>
    <sheetView workbookViewId="0">
      <selection activeCell="E10" sqref="E10"/>
    </sheetView>
  </sheetViews>
  <sheetFormatPr baseColWidth="10" defaultRowHeight="15" x14ac:dyDescent="0.25"/>
  <sheetData>
    <row r="3" spans="2:4" x14ac:dyDescent="0.25">
      <c r="B3" s="1" t="s">
        <v>56</v>
      </c>
    </row>
    <row r="4" spans="2:4" x14ac:dyDescent="0.25">
      <c r="B4" t="s">
        <v>60</v>
      </c>
    </row>
    <row r="6" spans="2:4" x14ac:dyDescent="0.25">
      <c r="B6" s="1" t="s">
        <v>1</v>
      </c>
      <c r="C6" s="1" t="s">
        <v>58</v>
      </c>
      <c r="D6" s="1" t="s">
        <v>59</v>
      </c>
    </row>
    <row r="7" spans="2:4" x14ac:dyDescent="0.25">
      <c r="B7">
        <v>1970</v>
      </c>
      <c r="C7" s="2" t="s">
        <v>57</v>
      </c>
      <c r="D7" s="2">
        <v>8</v>
      </c>
    </row>
    <row r="8" spans="2:4" x14ac:dyDescent="0.25">
      <c r="B8">
        <v>1975</v>
      </c>
      <c r="C8" s="2">
        <v>83.5</v>
      </c>
      <c r="D8" s="2">
        <v>3</v>
      </c>
    </row>
    <row r="9" spans="2:4" x14ac:dyDescent="0.25">
      <c r="B9">
        <v>1980</v>
      </c>
      <c r="C9" s="2">
        <v>78.5</v>
      </c>
      <c r="D9" s="2">
        <v>-1</v>
      </c>
    </row>
    <row r="10" spans="2:4" x14ac:dyDescent="0.25">
      <c r="B10">
        <v>1982</v>
      </c>
      <c r="C10" s="2">
        <v>75.099999999999994</v>
      </c>
      <c r="D10" s="2" t="s">
        <v>57</v>
      </c>
    </row>
    <row r="11" spans="2:4" x14ac:dyDescent="0.25">
      <c r="B11">
        <v>1983</v>
      </c>
      <c r="C11" s="2">
        <v>75</v>
      </c>
      <c r="D11" s="2" t="s">
        <v>57</v>
      </c>
    </row>
    <row r="12" spans="2:4" x14ac:dyDescent="0.25">
      <c r="B12">
        <v>1984</v>
      </c>
      <c r="C12" s="2">
        <v>71.5</v>
      </c>
      <c r="D12" s="2" t="s">
        <v>57</v>
      </c>
    </row>
    <row r="13" spans="2:4" x14ac:dyDescent="0.25">
      <c r="B13">
        <v>1985</v>
      </c>
      <c r="C13" s="2">
        <v>69.8</v>
      </c>
      <c r="D13" s="2">
        <v>-8</v>
      </c>
    </row>
    <row r="14" spans="2:4" x14ac:dyDescent="0.25">
      <c r="B14">
        <v>1987</v>
      </c>
      <c r="C14" s="2">
        <v>70</v>
      </c>
      <c r="D14" s="2">
        <v>-10</v>
      </c>
    </row>
    <row r="15" spans="2:4" x14ac:dyDescent="0.25">
      <c r="B15">
        <v>1988</v>
      </c>
      <c r="C15" s="2">
        <v>69.900000000000006</v>
      </c>
      <c r="D15" s="2">
        <v>-10</v>
      </c>
    </row>
    <row r="16" spans="2:4" x14ac:dyDescent="0.25">
      <c r="B16">
        <v>1990</v>
      </c>
      <c r="C16" s="2">
        <v>70.099999999999994</v>
      </c>
      <c r="D16" s="2">
        <v>-9</v>
      </c>
    </row>
    <row r="17" spans="2:4" x14ac:dyDescent="0.25">
      <c r="B17">
        <v>1995</v>
      </c>
      <c r="C17" s="2">
        <v>70</v>
      </c>
      <c r="D17" s="2">
        <v>-25</v>
      </c>
    </row>
    <row r="18" spans="2:4" x14ac:dyDescent="0.25">
      <c r="B18">
        <v>1996</v>
      </c>
      <c r="C18" s="2">
        <v>69.900000000000006</v>
      </c>
      <c r="D18" s="2" t="s">
        <v>57</v>
      </c>
    </row>
    <row r="19" spans="2:4" x14ac:dyDescent="0.25">
      <c r="B19">
        <v>1997</v>
      </c>
      <c r="C19" s="2" t="s">
        <v>57</v>
      </c>
      <c r="D19" s="2">
        <v>-20</v>
      </c>
    </row>
    <row r="20" spans="2:4" x14ac:dyDescent="0.25">
      <c r="B20">
        <v>1998</v>
      </c>
      <c r="C20" s="2" t="s">
        <v>57</v>
      </c>
      <c r="D20" s="2">
        <v>-25</v>
      </c>
    </row>
    <row r="21" spans="2:4" x14ac:dyDescent="0.25">
      <c r="B21">
        <v>1999</v>
      </c>
      <c r="C21" s="2" t="s">
        <v>57</v>
      </c>
      <c r="D21" s="2">
        <v>-28</v>
      </c>
    </row>
    <row r="22" spans="2:4" x14ac:dyDescent="0.25">
      <c r="B22">
        <v>2000</v>
      </c>
      <c r="C22" s="2" t="s">
        <v>57</v>
      </c>
      <c r="D22" s="2">
        <v>-33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32"/>
  <sheetViews>
    <sheetView topLeftCell="A7" workbookViewId="0"/>
  </sheetViews>
  <sheetFormatPr baseColWidth="10" defaultRowHeight="15" x14ac:dyDescent="0.25"/>
  <cols>
    <col min="2" max="2" width="20.7109375" customWidth="1"/>
  </cols>
  <sheetData>
    <row r="3" spans="2:7" x14ac:dyDescent="0.25">
      <c r="B3" s="1" t="s">
        <v>64</v>
      </c>
    </row>
    <row r="4" spans="2:7" x14ac:dyDescent="0.25">
      <c r="B4" t="s">
        <v>65</v>
      </c>
    </row>
    <row r="7" spans="2:7" x14ac:dyDescent="0.25"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</row>
    <row r="8" spans="2:7" x14ac:dyDescent="0.25">
      <c r="B8" s="29" t="s">
        <v>69</v>
      </c>
    </row>
    <row r="9" spans="2:7" x14ac:dyDescent="0.25">
      <c r="B9" s="28" t="s">
        <v>71</v>
      </c>
      <c r="C9">
        <v>0.55000000000000004</v>
      </c>
      <c r="D9">
        <v>0.81</v>
      </c>
      <c r="E9">
        <v>0.9</v>
      </c>
      <c r="F9">
        <v>1.04</v>
      </c>
      <c r="G9">
        <v>1.01</v>
      </c>
    </row>
    <row r="10" spans="2:7" x14ac:dyDescent="0.25">
      <c r="B10" s="28" t="s">
        <v>72</v>
      </c>
      <c r="C10">
        <v>1.99</v>
      </c>
      <c r="D10">
        <v>2.3199999999999998</v>
      </c>
      <c r="E10">
        <v>2.39</v>
      </c>
      <c r="F10">
        <v>2.59</v>
      </c>
      <c r="G10">
        <v>2.4</v>
      </c>
    </row>
    <row r="11" spans="2:7" x14ac:dyDescent="0.25">
      <c r="B11" s="28" t="s">
        <v>70</v>
      </c>
      <c r="C11" s="12">
        <f>+C10/C9</f>
        <v>3.6181818181818177</v>
      </c>
      <c r="D11" s="12">
        <f t="shared" ref="D11:G11" si="0">+D10/D9</f>
        <v>2.8641975308641969</v>
      </c>
      <c r="E11" s="12">
        <f t="shared" si="0"/>
        <v>2.6555555555555554</v>
      </c>
      <c r="F11" s="12">
        <f t="shared" si="0"/>
        <v>2.490384615384615</v>
      </c>
      <c r="G11" s="12">
        <f t="shared" si="0"/>
        <v>2.3762376237623761</v>
      </c>
    </row>
    <row r="12" spans="2:7" x14ac:dyDescent="0.25">
      <c r="B12" s="28" t="s">
        <v>67</v>
      </c>
      <c r="C12" s="30">
        <f>+C10/C9-1</f>
        <v>2.6181818181818177</v>
      </c>
      <c r="D12" s="30">
        <f t="shared" ref="D12:G12" si="1">+D10/D9-1</f>
        <v>1.8641975308641969</v>
      </c>
      <c r="E12" s="30">
        <f t="shared" si="1"/>
        <v>1.6555555555555554</v>
      </c>
      <c r="F12" s="30">
        <f t="shared" si="1"/>
        <v>1.490384615384615</v>
      </c>
      <c r="G12" s="30">
        <f t="shared" si="1"/>
        <v>1.3762376237623761</v>
      </c>
    </row>
    <row r="13" spans="2:7" x14ac:dyDescent="0.25">
      <c r="B13" s="29" t="s">
        <v>68</v>
      </c>
    </row>
    <row r="14" spans="2:7" x14ac:dyDescent="0.25">
      <c r="B14" s="28" t="s">
        <v>71</v>
      </c>
      <c r="C14">
        <v>0.55000000000000004</v>
      </c>
      <c r="D14">
        <v>0.79</v>
      </c>
      <c r="E14">
        <v>0.31</v>
      </c>
      <c r="F14">
        <v>0.57999999999999996</v>
      </c>
      <c r="G14">
        <v>0.46</v>
      </c>
    </row>
    <row r="15" spans="2:7" x14ac:dyDescent="0.25">
      <c r="B15" s="28" t="s">
        <v>72</v>
      </c>
      <c r="C15">
        <v>1.89</v>
      </c>
      <c r="D15">
        <v>2.1</v>
      </c>
      <c r="E15">
        <v>2.2000000000000002</v>
      </c>
      <c r="F15">
        <v>1.97</v>
      </c>
      <c r="G15">
        <v>2.1</v>
      </c>
    </row>
    <row r="16" spans="2:7" x14ac:dyDescent="0.25">
      <c r="B16" s="28" t="s">
        <v>70</v>
      </c>
      <c r="C16" s="12">
        <f>+C15/C14</f>
        <v>3.4363636363636361</v>
      </c>
      <c r="D16" s="12">
        <f t="shared" ref="D16:G16" si="2">+D15/D14</f>
        <v>2.6582278481012658</v>
      </c>
      <c r="E16" s="12">
        <f t="shared" si="2"/>
        <v>7.0967741935483879</v>
      </c>
      <c r="F16" s="12">
        <f t="shared" si="2"/>
        <v>3.396551724137931</v>
      </c>
      <c r="G16" s="12">
        <f t="shared" si="2"/>
        <v>4.5652173913043477</v>
      </c>
    </row>
    <row r="17" spans="2:7" x14ac:dyDescent="0.25">
      <c r="B17" s="28" t="s">
        <v>67</v>
      </c>
      <c r="C17" s="30">
        <f>+C15/C14-1</f>
        <v>2.4363636363636361</v>
      </c>
      <c r="D17" s="30">
        <f t="shared" ref="D17:G17" si="3">+D15/D14-1</f>
        <v>1.6582278481012658</v>
      </c>
      <c r="E17" s="30">
        <f t="shared" si="3"/>
        <v>6.0967741935483879</v>
      </c>
      <c r="F17" s="30">
        <f t="shared" si="3"/>
        <v>2.396551724137931</v>
      </c>
      <c r="G17" s="30">
        <f t="shared" si="3"/>
        <v>3.5652173913043477</v>
      </c>
    </row>
    <row r="18" spans="2:7" x14ac:dyDescent="0.25">
      <c r="B18" t="s">
        <v>66</v>
      </c>
    </row>
    <row r="19" spans="2:7" x14ac:dyDescent="0.25">
      <c r="B19" s="28" t="s">
        <v>71</v>
      </c>
      <c r="C19">
        <v>0.6</v>
      </c>
      <c r="D19">
        <v>1.02</v>
      </c>
      <c r="E19">
        <v>0.52</v>
      </c>
      <c r="F19">
        <v>0.41</v>
      </c>
      <c r="G19">
        <v>0.43</v>
      </c>
    </row>
    <row r="20" spans="2:7" x14ac:dyDescent="0.25">
      <c r="B20" s="28" t="s">
        <v>72</v>
      </c>
      <c r="C20">
        <v>1.92</v>
      </c>
      <c r="D20">
        <v>2.39</v>
      </c>
      <c r="E20">
        <v>1.69</v>
      </c>
      <c r="F20">
        <v>1.99</v>
      </c>
      <c r="G20">
        <v>2.5</v>
      </c>
    </row>
    <row r="21" spans="2:7" x14ac:dyDescent="0.25">
      <c r="B21" s="28" t="s">
        <v>70</v>
      </c>
      <c r="C21" s="12">
        <f>+C20/C19</f>
        <v>3.2</v>
      </c>
      <c r="D21" s="12">
        <f t="shared" ref="D21:G21" si="4">+D20/D19</f>
        <v>2.3431372549019609</v>
      </c>
      <c r="E21" s="12">
        <f t="shared" si="4"/>
        <v>3.25</v>
      </c>
      <c r="F21" s="12">
        <f t="shared" si="4"/>
        <v>4.8536585365853657</v>
      </c>
      <c r="G21" s="12">
        <f t="shared" si="4"/>
        <v>5.8139534883720927</v>
      </c>
    </row>
    <row r="22" spans="2:7" x14ac:dyDescent="0.25">
      <c r="B22" s="28" t="s">
        <v>67</v>
      </c>
      <c r="C22" s="30">
        <f>+C20/C19-1</f>
        <v>2.2000000000000002</v>
      </c>
      <c r="D22" s="30">
        <f t="shared" ref="D22:G22" si="5">+D20/D19-1</f>
        <v>1.3431372549019609</v>
      </c>
      <c r="E22" s="30">
        <f t="shared" si="5"/>
        <v>2.25</v>
      </c>
      <c r="F22" s="30">
        <f t="shared" si="5"/>
        <v>3.8536585365853657</v>
      </c>
      <c r="G22" s="30">
        <f t="shared" si="5"/>
        <v>4.8139534883720927</v>
      </c>
    </row>
    <row r="23" spans="2:7" x14ac:dyDescent="0.25">
      <c r="B23" t="s">
        <v>89</v>
      </c>
    </row>
    <row r="24" spans="2:7" x14ac:dyDescent="0.25">
      <c r="B24" s="28" t="s">
        <v>71</v>
      </c>
      <c r="C24">
        <v>0.66</v>
      </c>
      <c r="D24">
        <v>0.89</v>
      </c>
      <c r="E24">
        <v>0.5</v>
      </c>
      <c r="F24">
        <v>0.2</v>
      </c>
      <c r="G24">
        <v>0.36</v>
      </c>
    </row>
    <row r="25" spans="2:7" x14ac:dyDescent="0.25">
      <c r="B25" s="28" t="s">
        <v>72</v>
      </c>
      <c r="C25">
        <v>2.04</v>
      </c>
      <c r="D25">
        <v>2.0299999999999998</v>
      </c>
      <c r="E25">
        <v>2.0699999999999998</v>
      </c>
      <c r="F25">
        <v>1.85</v>
      </c>
      <c r="G25">
        <v>2.5099999999999998</v>
      </c>
    </row>
    <row r="26" spans="2:7" x14ac:dyDescent="0.25">
      <c r="B26" s="28" t="s">
        <v>70</v>
      </c>
      <c r="C26" s="12">
        <f t="shared" ref="C26:F26" si="6">+C25/C24</f>
        <v>3.0909090909090908</v>
      </c>
      <c r="D26" s="12">
        <f t="shared" si="6"/>
        <v>2.280898876404494</v>
      </c>
      <c r="E26" s="12">
        <f t="shared" si="6"/>
        <v>4.1399999999999997</v>
      </c>
      <c r="F26" s="12">
        <f t="shared" si="6"/>
        <v>9.25</v>
      </c>
      <c r="G26" s="12">
        <f t="shared" ref="G26" si="7">+G25/G24</f>
        <v>6.9722222222222223</v>
      </c>
    </row>
    <row r="27" spans="2:7" x14ac:dyDescent="0.25">
      <c r="B27" s="28" t="s">
        <v>67</v>
      </c>
      <c r="C27" s="30">
        <v>2.09</v>
      </c>
      <c r="D27" s="30">
        <v>1.28</v>
      </c>
      <c r="E27" s="30">
        <v>3.14</v>
      </c>
      <c r="F27" s="30">
        <v>8.25</v>
      </c>
      <c r="G27" s="30">
        <v>5.87</v>
      </c>
    </row>
    <row r="28" spans="2:7" x14ac:dyDescent="0.25">
      <c r="B28" s="53" t="s">
        <v>90</v>
      </c>
    </row>
    <row r="29" spans="2:7" x14ac:dyDescent="0.25">
      <c r="B29" s="28" t="s">
        <v>71</v>
      </c>
      <c r="C29">
        <v>0.34</v>
      </c>
      <c r="D29">
        <v>0.4</v>
      </c>
      <c r="E29">
        <v>0.24</v>
      </c>
      <c r="F29">
        <v>0.41</v>
      </c>
      <c r="G29">
        <v>0.48</v>
      </c>
    </row>
    <row r="30" spans="2:7" x14ac:dyDescent="0.25">
      <c r="B30" s="28" t="s">
        <v>72</v>
      </c>
      <c r="C30">
        <v>1.98</v>
      </c>
      <c r="D30">
        <v>1.98</v>
      </c>
      <c r="E30">
        <v>1.78</v>
      </c>
      <c r="F30">
        <v>1.84</v>
      </c>
      <c r="G30">
        <v>2.5</v>
      </c>
    </row>
    <row r="31" spans="2:7" x14ac:dyDescent="0.25">
      <c r="B31" s="28" t="s">
        <v>70</v>
      </c>
      <c r="C31" s="12">
        <f t="shared" ref="C31:G31" si="8">+C30/C29</f>
        <v>5.8235294117647056</v>
      </c>
      <c r="D31" s="12">
        <f t="shared" si="8"/>
        <v>4.9499999999999993</v>
      </c>
      <c r="E31" s="12">
        <f t="shared" si="8"/>
        <v>7.416666666666667</v>
      </c>
      <c r="F31" s="12">
        <f t="shared" si="8"/>
        <v>4.4878048780487809</v>
      </c>
      <c r="G31" s="12">
        <f t="shared" si="8"/>
        <v>5.2083333333333339</v>
      </c>
    </row>
    <row r="32" spans="2:7" x14ac:dyDescent="0.25">
      <c r="B32" s="28" t="s">
        <v>67</v>
      </c>
      <c r="C32" s="30">
        <v>4.82</v>
      </c>
      <c r="D32" s="30">
        <v>3.95</v>
      </c>
      <c r="E32" s="30">
        <v>6.42</v>
      </c>
      <c r="F32" s="30">
        <v>3.49</v>
      </c>
      <c r="G32" s="30">
        <v>4.21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Main</vt:lpstr>
      <vt:lpstr>Greenhouses area</vt:lpstr>
      <vt:lpstr>Tomato fresh consump. Almeria</vt:lpstr>
      <vt:lpstr>Tomato fresh consump. EUImports</vt:lpstr>
      <vt:lpstr>Harvest withdrawal vegetables</vt:lpstr>
      <vt:lpstr>Withdrawals destination</vt:lpstr>
      <vt:lpstr>Piezometric levels</vt:lpstr>
      <vt:lpstr>Price gap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2020-03-31T11:20:47Z</dcterms:created>
  <dcterms:modified xsi:type="dcterms:W3CDTF">2020-11-10T12:38:42Z</dcterms:modified>
</cp:coreProperties>
</file>